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hekh\Desktop\"/>
    </mc:Choice>
  </mc:AlternateContent>
  <xr:revisionPtr revIDLastSave="0" documentId="13_ncr:1_{902086B2-6C8B-426A-BE90-76F815F8EBFE}" xr6:coauthVersionLast="45" xr6:coauthVersionMax="45" xr10:uidLastSave="{00000000-0000-0000-0000-000000000000}"/>
  <bookViews>
    <workbookView xWindow="-110" yWindow="-110" windowWidth="19420" windowHeight="10420" xr2:uid="{00000000-000D-0000-FFFF-FFFF00000000}"/>
  </bookViews>
  <sheets>
    <sheet name="Waterway" sheetId="1" r:id="rId1"/>
    <sheet name="Scour" sheetId="2" r:id="rId2"/>
    <sheet name="Vertical Clearances"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 l="1"/>
  <c r="H61" i="1" l="1"/>
  <c r="H79" i="1"/>
  <c r="I48" i="3" l="1"/>
  <c r="H8" i="2"/>
  <c r="L25" i="1" l="1"/>
  <c r="L24" i="1"/>
  <c r="L23" i="1"/>
  <c r="L22" i="1"/>
  <c r="I31" i="3" l="1"/>
  <c r="I35" i="3" s="1"/>
  <c r="I37" i="3" s="1"/>
  <c r="H95" i="1"/>
  <c r="H77" i="1"/>
  <c r="I4" i="3" s="1"/>
  <c r="H27" i="1"/>
  <c r="L21" i="1"/>
  <c r="N100" i="1"/>
  <c r="H101" i="1" s="1"/>
  <c r="I25" i="2"/>
  <c r="I24" i="2"/>
  <c r="H16" i="2"/>
  <c r="H53" i="1"/>
  <c r="O50" i="1"/>
  <c r="O52" i="1" s="1"/>
  <c r="O54" i="1"/>
  <c r="O56" i="1"/>
  <c r="N50" i="1"/>
  <c r="N52" i="1" s="1"/>
  <c r="N54" i="1"/>
  <c r="N56" i="1"/>
  <c r="M50" i="1"/>
  <c r="M52" i="1" s="1"/>
  <c r="M54" i="1"/>
  <c r="M56" i="1"/>
  <c r="O57" i="1" l="1"/>
  <c r="M57" i="1"/>
  <c r="N57" i="1"/>
  <c r="H65" i="1"/>
  <c r="H104" i="1" s="1"/>
  <c r="I6" i="3" s="1"/>
  <c r="I52" i="3"/>
  <c r="I54" i="3" s="1"/>
  <c r="H89" i="1" l="1"/>
  <c r="H71" i="1"/>
  <c r="I7" i="3"/>
  <c r="I20" i="2"/>
  <c r="I21" i="2" s="1"/>
  <c r="H18" i="2"/>
</calcChain>
</file>

<file path=xl/sharedStrings.xml><?xml version="1.0" encoding="utf-8"?>
<sst xmlns="http://schemas.openxmlformats.org/spreadsheetml/2006/main" count="336" uniqueCount="225">
  <si>
    <t>Details of the Project</t>
  </si>
  <si>
    <t>Location:</t>
  </si>
  <si>
    <t>Bridge No.:</t>
  </si>
  <si>
    <t>Estimated Design Discharge for the Location:</t>
  </si>
  <si>
    <t>cumec</t>
  </si>
  <si>
    <r>
      <t xml:space="preserve">1.   </t>
    </r>
    <r>
      <rPr>
        <b/>
        <u/>
        <sz val="14"/>
        <color theme="1"/>
        <rFont val="Calibri"/>
        <family val="2"/>
        <scheme val="minor"/>
      </rPr>
      <t>Fixing Linear Waterway for the Bridge</t>
    </r>
  </si>
  <si>
    <t>(A)  As given in CWC Flood Estimation report</t>
  </si>
  <si>
    <t>m</t>
  </si>
  <si>
    <t>Subzone</t>
  </si>
  <si>
    <t>Formula</t>
  </si>
  <si>
    <t>W (Cumecs)</t>
  </si>
  <si>
    <t>1d_Sone</t>
  </si>
  <si>
    <r>
      <t>W = 8.60 * (Q</t>
    </r>
    <r>
      <rPr>
        <vertAlign val="subscript"/>
        <sz val="11"/>
        <color rgb="FF000000"/>
        <rFont val="Verdana"/>
        <family val="2"/>
      </rPr>
      <t>50</t>
    </r>
    <r>
      <rPr>
        <sz val="11"/>
        <color rgb="FF000000"/>
        <rFont val="Verdana"/>
        <family val="2"/>
      </rPr>
      <t>)</t>
    </r>
    <r>
      <rPr>
        <vertAlign val="superscript"/>
        <sz val="11"/>
        <color rgb="FF000000"/>
        <rFont val="Verdana"/>
        <family val="2"/>
      </rPr>
      <t>1/3</t>
    </r>
  </si>
  <si>
    <t>3a_Mahi and Sabarmati</t>
  </si>
  <si>
    <r>
      <t>W = 7.28 * (Q</t>
    </r>
    <r>
      <rPr>
        <vertAlign val="subscript"/>
        <sz val="11"/>
        <color rgb="FF000000"/>
        <rFont val="Verdana"/>
        <family val="2"/>
      </rPr>
      <t>50</t>
    </r>
    <r>
      <rPr>
        <sz val="11"/>
        <color rgb="FF000000"/>
        <rFont val="Verdana"/>
        <family val="2"/>
      </rPr>
      <t>)</t>
    </r>
    <r>
      <rPr>
        <vertAlign val="superscript"/>
        <sz val="11"/>
        <color rgb="FF000000"/>
        <rFont val="Verdana"/>
        <family val="2"/>
      </rPr>
      <t>1/3</t>
    </r>
  </si>
  <si>
    <t>3e_Upper Godavari</t>
  </si>
  <si>
    <r>
      <t>W = 5.77 * (Q</t>
    </r>
    <r>
      <rPr>
        <vertAlign val="subscript"/>
        <sz val="11"/>
        <color rgb="FF000000"/>
        <rFont val="Verdana"/>
        <family val="2"/>
      </rPr>
      <t>50</t>
    </r>
    <r>
      <rPr>
        <sz val="11"/>
        <color rgb="FF000000"/>
        <rFont val="Verdana"/>
        <family val="2"/>
      </rPr>
      <t>)</t>
    </r>
    <r>
      <rPr>
        <vertAlign val="superscript"/>
        <sz val="11"/>
        <color rgb="FF000000"/>
        <rFont val="Verdana"/>
        <family val="2"/>
      </rPr>
      <t>1/3</t>
    </r>
  </si>
  <si>
    <t>3i_Kaveri</t>
  </si>
  <si>
    <r>
      <t>W = 4.98 * (Q</t>
    </r>
    <r>
      <rPr>
        <vertAlign val="subscript"/>
        <sz val="11"/>
        <color rgb="FF000000"/>
        <rFont val="Verdana"/>
        <family val="2"/>
      </rPr>
      <t>50</t>
    </r>
    <r>
      <rPr>
        <sz val="11"/>
        <color rgb="FF000000"/>
        <rFont val="Verdana"/>
        <family val="2"/>
      </rPr>
      <t>)</t>
    </r>
    <r>
      <rPr>
        <vertAlign val="superscript"/>
        <sz val="11"/>
        <color rgb="FF000000"/>
        <rFont val="Verdana"/>
        <family val="2"/>
      </rPr>
      <t>1/3</t>
    </r>
  </si>
  <si>
    <t>4a, 4b, 4c_Eastern Coast</t>
  </si>
  <si>
    <r>
      <t>W = 9.84 * (Q</t>
    </r>
    <r>
      <rPr>
        <vertAlign val="subscript"/>
        <sz val="11"/>
        <color rgb="FF000000"/>
        <rFont val="Verdana"/>
        <family val="2"/>
      </rPr>
      <t>50</t>
    </r>
    <r>
      <rPr>
        <sz val="11"/>
        <color rgb="FF000000"/>
        <rFont val="Verdana"/>
        <family val="2"/>
      </rPr>
      <t>)</t>
    </r>
    <r>
      <rPr>
        <vertAlign val="superscript"/>
        <sz val="11"/>
        <color rgb="FF000000"/>
        <rFont val="Verdana"/>
        <family val="2"/>
      </rPr>
      <t>1/3</t>
    </r>
  </si>
  <si>
    <t xml:space="preserve">     (i)   As per Lacey's Formula (If it is applicable)</t>
  </si>
  <si>
    <r>
      <t>P</t>
    </r>
    <r>
      <rPr>
        <vertAlign val="subscript"/>
        <sz val="11"/>
        <color rgb="FF000000"/>
        <rFont val="Verdana"/>
        <family val="2"/>
      </rPr>
      <t>W</t>
    </r>
    <r>
      <rPr>
        <sz val="11"/>
        <color rgb="FF000000"/>
        <rFont val="Verdana"/>
        <family val="2"/>
      </rPr>
      <t xml:space="preserve"> = 1.811*C*(Q)</t>
    </r>
    <r>
      <rPr>
        <vertAlign val="superscript"/>
        <sz val="11"/>
        <color rgb="FF000000"/>
        <rFont val="Verdana"/>
        <family val="2"/>
      </rPr>
      <t>0.5</t>
    </r>
  </si>
  <si>
    <t xml:space="preserve">    (i)  </t>
  </si>
  <si>
    <t>For river with stable banks, width of water spread between stable bank, including the spill width (if any)</t>
  </si>
  <si>
    <t xml:space="preserve">   (ii)  </t>
  </si>
  <si>
    <t>(iii)</t>
  </si>
  <si>
    <t xml:space="preserve">          </t>
  </si>
  <si>
    <t>If it is Navigational channel, requirement of number of spans based on required navigation width</t>
  </si>
  <si>
    <t>Case-I</t>
  </si>
  <si>
    <t>(B)</t>
  </si>
  <si>
    <t>(1)  Number of Spans proposed</t>
  </si>
  <si>
    <t>(2) Number of Piers = (1) - 1</t>
  </si>
  <si>
    <t>(4) Total Cost pf Piers (in Lakhs) = (2)*(3)</t>
  </si>
  <si>
    <t>(D)</t>
  </si>
  <si>
    <t>(5) Unit Cost of Abutment and Foundation (In Lakhs)</t>
  </si>
  <si>
    <t>(6) Total of Abutments (in Lakhs) = (5) * 2</t>
  </si>
  <si>
    <t xml:space="preserve">(E) </t>
  </si>
  <si>
    <t>(7) Unit Cost of Superstructure Span (In Lakhs)</t>
  </si>
  <si>
    <t>(8) Total Cost of Superstructure (In lakhs)= (7)*(1)</t>
  </si>
  <si>
    <t>(F)</t>
  </si>
  <si>
    <t>Type of Span Proposed</t>
  </si>
  <si>
    <t>(9) Total Cost of Bridge (In Lakhs) = (4)+(6)+8)</t>
  </si>
  <si>
    <t>(G)</t>
  </si>
  <si>
    <t>(A)</t>
  </si>
  <si>
    <t>(1) Distance from bridge on u/s side, where level was checked</t>
  </si>
  <si>
    <t>(2) R. L. at location (1) above</t>
  </si>
  <si>
    <t>(3) Distance from bridge on d/s side, where level was checked</t>
  </si>
  <si>
    <t>(4) R. L. at location (3) above</t>
  </si>
  <si>
    <t>Channel / Stream Condition</t>
  </si>
  <si>
    <t>Value of n</t>
  </si>
  <si>
    <t>Natural channel in fairly good condition</t>
  </si>
  <si>
    <t>Natural channel in fairly bad condition</t>
  </si>
  <si>
    <t>Natural channel with variable section &amp; some vegetation growing on banks</t>
  </si>
  <si>
    <t>Vegetation growing on banks in very bad condition</t>
  </si>
  <si>
    <t>0.060 - 0.10</t>
  </si>
  <si>
    <t>Case-II</t>
  </si>
  <si>
    <t>Case-III</t>
  </si>
  <si>
    <t>(C)</t>
  </si>
  <si>
    <t>Assume Depth of Water (D), for estimated Design Discharge (this value will be reiterated in calculations futher)</t>
  </si>
  <si>
    <t>m/sec</t>
  </si>
  <si>
    <t>Mean submerged width of one pier (Ref.: Fig. on RH side)</t>
  </si>
  <si>
    <t>First Step</t>
  </si>
  <si>
    <t>Second Step</t>
  </si>
  <si>
    <t>Third Step</t>
  </si>
  <si>
    <t>Fourth Step</t>
  </si>
  <si>
    <t>Mean Width</t>
  </si>
  <si>
    <t>Width (b)        (in m)</t>
  </si>
  <si>
    <t>Height (h)        (in m)</t>
  </si>
  <si>
    <t>Steps in Piers starting from Bed level</t>
  </si>
  <si>
    <t>Reduction in waterway (in m) due to piers                        = (D)* No. of Piers * 2</t>
  </si>
  <si>
    <r>
      <t>V = (1/n) * (R)</t>
    </r>
    <r>
      <rPr>
        <b/>
        <vertAlign val="superscript"/>
        <sz val="12"/>
        <color theme="1"/>
        <rFont val="Calibri"/>
        <family val="2"/>
        <scheme val="minor"/>
      </rPr>
      <t>2/3</t>
    </r>
    <r>
      <rPr>
        <b/>
        <sz val="12"/>
        <color theme="1"/>
        <rFont val="Calibri"/>
        <family val="2"/>
        <scheme val="minor"/>
      </rPr>
      <t xml:space="preserve"> * (S)</t>
    </r>
    <r>
      <rPr>
        <b/>
        <vertAlign val="superscript"/>
        <sz val="12"/>
        <color theme="1"/>
        <rFont val="Calibri"/>
        <family val="2"/>
        <scheme val="minor"/>
      </rPr>
      <t>1/2</t>
    </r>
  </si>
  <si>
    <t>(H)</t>
  </si>
  <si>
    <t xml:space="preserve">(I) </t>
  </si>
  <si>
    <t>(J)</t>
  </si>
  <si>
    <r>
      <t xml:space="preserve">2.   </t>
    </r>
    <r>
      <rPr>
        <b/>
        <u/>
        <sz val="14"/>
        <color theme="1"/>
        <rFont val="Calibri"/>
        <family val="2"/>
        <scheme val="minor"/>
      </rPr>
      <t>Fixing Numbers and Length of Bridge Spans</t>
    </r>
  </si>
  <si>
    <t>Increase required (%) as per Table on RH side</t>
  </si>
  <si>
    <t>Catchment Area</t>
  </si>
  <si>
    <t>Increase</t>
  </si>
  <si>
    <t>30 - 20%</t>
  </si>
  <si>
    <t>20 - 10%</t>
  </si>
  <si>
    <t>&lt; 10%</t>
  </si>
  <si>
    <r>
      <t xml:space="preserve">2.   </t>
    </r>
    <r>
      <rPr>
        <b/>
        <u/>
        <sz val="14"/>
        <color theme="1"/>
        <rFont val="Calibri"/>
        <family val="2"/>
        <scheme val="minor"/>
      </rPr>
      <t>Scour Depth Estimation</t>
    </r>
  </si>
  <si>
    <t xml:space="preserve">(i) </t>
  </si>
  <si>
    <t>mm</t>
  </si>
  <si>
    <t>(ii)</t>
  </si>
  <si>
    <t>Silt Factor (f)</t>
  </si>
  <si>
    <r>
      <t>Catchment Area for the Bridge (in km</t>
    </r>
    <r>
      <rPr>
        <b/>
        <vertAlign val="superscript"/>
        <sz val="12"/>
        <color theme="1"/>
        <rFont val="Calibri"/>
        <family val="2"/>
        <scheme val="minor"/>
      </rPr>
      <t>2</t>
    </r>
    <r>
      <rPr>
        <b/>
        <sz val="12"/>
        <color theme="1"/>
        <rFont val="Calibri"/>
        <family val="2"/>
        <scheme val="minor"/>
      </rPr>
      <t>)</t>
    </r>
  </si>
  <si>
    <r>
      <t>Foundation Design Discharge = Q</t>
    </r>
    <r>
      <rPr>
        <b/>
        <vertAlign val="subscript"/>
        <sz val="12"/>
        <color theme="1"/>
        <rFont val="Calibri"/>
        <family val="2"/>
        <scheme val="minor"/>
      </rPr>
      <t xml:space="preserve">f </t>
    </r>
    <r>
      <rPr>
        <b/>
        <sz val="12"/>
        <color theme="1"/>
        <rFont val="Calibri"/>
        <family val="2"/>
        <scheme val="minor"/>
      </rPr>
      <t>(in cumecs)</t>
    </r>
  </si>
  <si>
    <r>
      <t xml:space="preserve">f = 1.76 </t>
    </r>
    <r>
      <rPr>
        <b/>
        <sz val="12"/>
        <color theme="1"/>
        <rFont val="Calibri"/>
        <family val="2"/>
      </rPr>
      <t>√m</t>
    </r>
  </si>
  <si>
    <r>
      <t>D = 0.473 * (Q</t>
    </r>
    <r>
      <rPr>
        <b/>
        <vertAlign val="subscript"/>
        <sz val="12"/>
        <color theme="1"/>
        <rFont val="Calibri"/>
        <family val="2"/>
        <scheme val="minor"/>
      </rPr>
      <t>f</t>
    </r>
    <r>
      <rPr>
        <b/>
        <sz val="12"/>
        <color theme="1"/>
        <rFont val="Calibri"/>
        <family val="2"/>
        <scheme val="minor"/>
      </rPr>
      <t>/f)</t>
    </r>
    <r>
      <rPr>
        <b/>
        <vertAlign val="superscript"/>
        <sz val="12"/>
        <color theme="1"/>
        <rFont val="Calibri"/>
        <family val="2"/>
        <scheme val="minor"/>
      </rPr>
      <t>1/3</t>
    </r>
  </si>
  <si>
    <t>Scour Depth (m) =</t>
  </si>
  <si>
    <t>(iv)</t>
  </si>
  <si>
    <t>(a)</t>
  </si>
  <si>
    <t>(b)</t>
  </si>
  <si>
    <r>
      <t>D = 1.338 * (q</t>
    </r>
    <r>
      <rPr>
        <b/>
        <vertAlign val="subscript"/>
        <sz val="12"/>
        <color theme="1"/>
        <rFont val="Calibri"/>
        <family val="2"/>
        <scheme val="minor"/>
      </rPr>
      <t>f</t>
    </r>
    <r>
      <rPr>
        <b/>
        <vertAlign val="superscript"/>
        <sz val="12"/>
        <color theme="1"/>
        <rFont val="Calibri"/>
        <family val="2"/>
        <scheme val="minor"/>
      </rPr>
      <t>2</t>
    </r>
    <r>
      <rPr>
        <b/>
        <sz val="12"/>
        <color theme="1"/>
        <rFont val="Calibri"/>
        <family val="2"/>
        <scheme val="minor"/>
      </rPr>
      <t>/ f)</t>
    </r>
    <r>
      <rPr>
        <b/>
        <vertAlign val="superscript"/>
        <sz val="12"/>
        <color theme="1"/>
        <rFont val="Calibri"/>
        <family val="2"/>
        <scheme val="minor"/>
      </rPr>
      <t>1/3</t>
    </r>
  </si>
  <si>
    <t>(v)</t>
  </si>
  <si>
    <t>Applicable Scour Depth from (iii) or (iv) above</t>
  </si>
  <si>
    <t>(vi)</t>
  </si>
  <si>
    <t>Maximum Scour Depth</t>
  </si>
  <si>
    <t>For Piers</t>
  </si>
  <si>
    <t>For Abutments</t>
  </si>
  <si>
    <t>Using Factor of 1.25</t>
  </si>
  <si>
    <t>Using Factor of 2.00</t>
  </si>
  <si>
    <t>For Flashy Rivers with Boulders or Gravels as bed material</t>
  </si>
  <si>
    <t>Scour depth based on soundings at site</t>
  </si>
  <si>
    <t>Extra due to various relevant factors</t>
  </si>
  <si>
    <t>For Clayey Beds</t>
  </si>
  <si>
    <t>Scour Depths from actual observations</t>
  </si>
  <si>
    <t>(E)</t>
  </si>
  <si>
    <t>Open Foundation to be founded not less than 1.75m below the maximum scour level calculated in Item 2(D) above.</t>
  </si>
  <si>
    <t>Velocity of unobstructed stream</t>
  </si>
  <si>
    <t>Unobstructed Sectional Area of Stream</t>
  </si>
  <si>
    <r>
      <t>m</t>
    </r>
    <r>
      <rPr>
        <b/>
        <vertAlign val="superscript"/>
        <sz val="12"/>
        <color theme="1"/>
        <rFont val="Calibri"/>
        <family val="2"/>
        <scheme val="minor"/>
      </rPr>
      <t>2</t>
    </r>
  </si>
  <si>
    <t>Obstructed Sectional Area of Stream at Bridge</t>
  </si>
  <si>
    <r>
      <t>h = {V</t>
    </r>
    <r>
      <rPr>
        <b/>
        <vertAlign val="superscript"/>
        <sz val="12"/>
        <color theme="1"/>
        <rFont val="Calibri"/>
        <family val="2"/>
        <scheme val="minor"/>
      </rPr>
      <t>2</t>
    </r>
    <r>
      <rPr>
        <b/>
        <sz val="12"/>
        <color theme="1"/>
        <rFont val="Calibri"/>
        <family val="2"/>
        <scheme val="minor"/>
      </rPr>
      <t>/17.88 + 0.01524} x {(A/a)</t>
    </r>
    <r>
      <rPr>
        <b/>
        <vertAlign val="superscript"/>
        <sz val="12"/>
        <color theme="1"/>
        <rFont val="Calibri"/>
        <family val="2"/>
        <scheme val="minor"/>
      </rPr>
      <t>2</t>
    </r>
    <r>
      <rPr>
        <b/>
        <sz val="12"/>
        <color theme="1"/>
        <rFont val="Calibri"/>
        <family val="2"/>
        <scheme val="minor"/>
      </rPr>
      <t xml:space="preserve"> - 1}</t>
    </r>
  </si>
  <si>
    <t>Afflux by Molesworth Formula</t>
  </si>
  <si>
    <r>
      <t xml:space="preserve">2.   </t>
    </r>
    <r>
      <rPr>
        <b/>
        <u/>
        <sz val="14"/>
        <color theme="1"/>
        <rFont val="Calibri"/>
        <family val="2"/>
        <scheme val="minor"/>
      </rPr>
      <t>Minimum Clearance to Bottom of Superstructure</t>
    </r>
    <r>
      <rPr>
        <b/>
        <sz val="14"/>
        <color theme="1"/>
        <rFont val="Calibri"/>
        <family val="2"/>
        <scheme val="minor"/>
      </rPr>
      <t xml:space="preserve"> </t>
    </r>
  </si>
  <si>
    <t>Requirement of Clearance (See Table on RH Side)</t>
  </si>
  <si>
    <t>Discharge (cumecs)</t>
  </si>
  <si>
    <t>0 - 30</t>
  </si>
  <si>
    <t>31 - 300</t>
  </si>
  <si>
    <t>301 - 3000</t>
  </si>
  <si>
    <t xml:space="preserve">Above 3001 </t>
  </si>
  <si>
    <t>600 - 1200 (Prorata)</t>
  </si>
  <si>
    <t>Clerance required (If it is Pipe, Siphon or Box Culvert)</t>
  </si>
  <si>
    <t>Relaxed Clerances (As per  values in Table on RH Side)</t>
  </si>
  <si>
    <t>Reduced Clerance (mm)</t>
  </si>
  <si>
    <t>&lt; 3</t>
  </si>
  <si>
    <t>3 to 30</t>
  </si>
  <si>
    <t>Required Level of Bottom of Superstructure (Min.)</t>
  </si>
  <si>
    <t>Calculated HFL (Bed Level + Water Depth + Afflux)</t>
  </si>
  <si>
    <t>Observed HFL (for the given return period)</t>
  </si>
  <si>
    <t>HFL to be adopted [Higher of (F) and (G) above]</t>
  </si>
  <si>
    <t>(I)</t>
  </si>
  <si>
    <r>
      <t xml:space="preserve">2.   </t>
    </r>
    <r>
      <rPr>
        <b/>
        <u/>
        <sz val="14"/>
        <color theme="1"/>
        <rFont val="Calibri"/>
        <family val="2"/>
        <scheme val="minor"/>
      </rPr>
      <t>Minimum Free Board</t>
    </r>
  </si>
  <si>
    <t>Depth of construction of Superstructure</t>
  </si>
  <si>
    <t>Required Clearance from (A), (B), (C) or (D) above</t>
  </si>
  <si>
    <t xml:space="preserve">(F) </t>
  </si>
  <si>
    <t>(K)</t>
  </si>
  <si>
    <t>Required Free Board</t>
  </si>
  <si>
    <t>Keep Approach Bank and Top of Guide Bund (if provided) at Minimum level of</t>
  </si>
  <si>
    <t>Approach Bank and Top of Guide Bund Level (if provided) from HFL point of view = HFL + Free Board</t>
  </si>
  <si>
    <t>Linear waterway is to be fixed based on one of the considerations (A), (B) or (C)  below (as applicable to stream under consideration):</t>
  </si>
  <si>
    <t>(B) Using Lacey's Formula (if applicable for this location):</t>
  </si>
  <si>
    <t xml:space="preserve">    (iii)  Width from Overall Cost consideration</t>
  </si>
  <si>
    <t xml:space="preserve">    (ii)   Width covering all Active Channels</t>
  </si>
  <si>
    <t>If gorge is deep, waterway width at the level of approach track at the crossing point</t>
  </si>
  <si>
    <t>(C) For Rivers with Rigid Boundaries:</t>
  </si>
  <si>
    <t xml:space="preserve">    (iii)  Waterway propsoed, based on above</t>
  </si>
  <si>
    <t>Waterway proposed, based on above</t>
  </si>
  <si>
    <t>Water way chosen from both Hydraulic and Economic considerations</t>
  </si>
  <si>
    <t>Waterway decided based on (A) or (B) or (C) or (D) above, whichever is applicable</t>
  </si>
  <si>
    <t>(D)  For Rivers in Sub-montane Region:</t>
  </si>
  <si>
    <t>Individual overall Span length required</t>
  </si>
  <si>
    <t>Nearest standard overall Span length (on higher side) or other Overall Span length propsoed to be used</t>
  </si>
  <si>
    <t>PSC Box Girder (RDSO/B-10242)</t>
  </si>
  <si>
    <t>Width of waterway at location just upstream of bridge (W)</t>
  </si>
  <si>
    <t xml:space="preserve">Area of waterway at location (A) above, assuming river cross section as rectangular </t>
  </si>
  <si>
    <r>
      <t>Velocity of water, just upstream of bridge = (Q</t>
    </r>
    <r>
      <rPr>
        <b/>
        <vertAlign val="subscript"/>
        <sz val="12"/>
        <color theme="1"/>
        <rFont val="Calibri"/>
        <family val="2"/>
        <scheme val="minor"/>
      </rPr>
      <t>50</t>
    </r>
    <r>
      <rPr>
        <b/>
        <sz val="12"/>
        <color theme="1"/>
        <rFont val="Calibri"/>
        <family val="2"/>
        <scheme val="minor"/>
      </rPr>
      <t>)/(Area)</t>
    </r>
  </si>
  <si>
    <t>Slope of river bed "S" (See Table on RH side)</t>
  </si>
  <si>
    <t xml:space="preserve">Roughness Coefficient for Manning's Formula "n", based on the condition of channel/river (See Table on RH Side) </t>
  </si>
  <si>
    <t>Velocity of water by Manning's Formula</t>
  </si>
  <si>
    <t>Wetted Perimeter at location (A) above, if river cross section is not rectangular</t>
  </si>
  <si>
    <t>Wetted Perimeter at location (A) above, assuming river cross section as rectangular</t>
  </si>
  <si>
    <t xml:space="preserve">Area of waterway at location (A) above, if river cross section is not rectangular </t>
  </si>
  <si>
    <t>(L)</t>
  </si>
  <si>
    <t>Area of waterway at location (A) above, either (D) or (E) above</t>
  </si>
  <si>
    <t>Wetted Perimeter at location (A) above, either (J) or (K) above</t>
  </si>
  <si>
    <t>(M)</t>
  </si>
  <si>
    <t xml:space="preserve">Reiterate the value of Depth (D) in Item (C) above, till the velocities in (G) and (M) above become almost equal </t>
  </si>
  <si>
    <t>(N)</t>
  </si>
  <si>
    <t>(O)</t>
  </si>
  <si>
    <t xml:space="preserve">(P) </t>
  </si>
  <si>
    <t>(Q)</t>
  </si>
  <si>
    <t>Effective waterway availabe (in m) = (A) - (P)</t>
  </si>
  <si>
    <r>
      <t xml:space="preserve">3.   </t>
    </r>
    <r>
      <rPr>
        <b/>
        <u/>
        <sz val="14"/>
        <color theme="1"/>
        <rFont val="Calibri"/>
        <family val="2"/>
        <scheme val="minor"/>
      </rPr>
      <t>Check for adequacy of Waterway provided</t>
    </r>
  </si>
  <si>
    <t>Depth of water for estimated Design Discharge (from Stage Discharge Curves). In case, these curves are not available, follow Steps (C) to (M) below.</t>
  </si>
  <si>
    <r>
      <t xml:space="preserve">1.   </t>
    </r>
    <r>
      <rPr>
        <b/>
        <u/>
        <sz val="14"/>
        <color theme="1"/>
        <rFont val="Calibri"/>
        <family val="2"/>
        <scheme val="minor"/>
      </rPr>
      <t>Calculation of Foundation Discharge</t>
    </r>
    <r>
      <rPr>
        <b/>
        <sz val="14"/>
        <color theme="1"/>
        <rFont val="Calibri"/>
        <family val="2"/>
        <scheme val="minor"/>
      </rPr>
      <t xml:space="preserve"> (Q</t>
    </r>
    <r>
      <rPr>
        <b/>
        <vertAlign val="subscript"/>
        <sz val="14"/>
        <color theme="1"/>
        <rFont val="Calibri"/>
        <family val="2"/>
        <scheme val="minor"/>
      </rPr>
      <t>f</t>
    </r>
    <r>
      <rPr>
        <b/>
        <sz val="14"/>
        <color theme="1"/>
        <rFont val="Calibri"/>
        <family val="2"/>
        <scheme val="minor"/>
      </rPr>
      <t>)</t>
    </r>
  </si>
  <si>
    <r>
      <t>Upto 500 km</t>
    </r>
    <r>
      <rPr>
        <vertAlign val="superscript"/>
        <sz val="12"/>
        <color theme="1"/>
        <rFont val="Calibri"/>
        <family val="2"/>
        <scheme val="minor"/>
      </rPr>
      <t>2</t>
    </r>
  </si>
  <si>
    <r>
      <t>&gt; 500 upto 5000 km</t>
    </r>
    <r>
      <rPr>
        <vertAlign val="superscript"/>
        <sz val="12"/>
        <color theme="1"/>
        <rFont val="Calibri"/>
        <family val="2"/>
        <scheme val="minor"/>
      </rPr>
      <t>2</t>
    </r>
  </si>
  <si>
    <r>
      <t>&gt; 5000 upto 25000 km</t>
    </r>
    <r>
      <rPr>
        <vertAlign val="superscript"/>
        <sz val="12"/>
        <color theme="1"/>
        <rFont val="Calibri"/>
        <family val="2"/>
        <scheme val="minor"/>
      </rPr>
      <t>2</t>
    </r>
  </si>
  <si>
    <r>
      <t>&gt; 25000 km</t>
    </r>
    <r>
      <rPr>
        <vertAlign val="superscript"/>
        <sz val="12"/>
        <color theme="1"/>
        <rFont val="Calibri"/>
        <family val="2"/>
        <scheme val="minor"/>
      </rPr>
      <t>2</t>
    </r>
  </si>
  <si>
    <t>Scour Depth is to be estimated based on one of the considerations (A), (B) or (C)  below (as applicable to stream under consideration):</t>
  </si>
  <si>
    <t>From Lacey's Formula (if applicable)</t>
  </si>
  <si>
    <t>Mean Particle size (mm) of bed material in Scour Zone (f)</t>
  </si>
  <si>
    <t>If Waterway provided is not less than Lacey's Regime width:</t>
  </si>
  <si>
    <t>If Waterway provided is less than Lacey's Regime width:</t>
  </si>
  <si>
    <r>
      <t>Discharge Intensity (q</t>
    </r>
    <r>
      <rPr>
        <b/>
        <vertAlign val="subscript"/>
        <sz val="12"/>
        <color theme="1"/>
        <rFont val="Calibri"/>
        <family val="2"/>
        <scheme val="minor"/>
      </rPr>
      <t>f</t>
    </r>
    <r>
      <rPr>
        <b/>
        <sz val="12"/>
        <color theme="1"/>
        <rFont val="Calibri"/>
        <family val="2"/>
        <scheme val="minor"/>
      </rPr>
      <t>) in cumecs/m</t>
    </r>
  </si>
  <si>
    <r>
      <t xml:space="preserve">3.   </t>
    </r>
    <r>
      <rPr>
        <b/>
        <u/>
        <sz val="14"/>
        <color theme="1"/>
        <rFont val="Calibri"/>
        <family val="2"/>
        <scheme val="minor"/>
      </rPr>
      <t>Founding Depth from Hydrological considerations</t>
    </r>
  </si>
  <si>
    <t xml:space="preserve">Grip Length for Deep Foundation, below the deepest scour level, not to be less than 1.33 times the maximum scour depth calculated in Item 2(D) above. 
</t>
  </si>
  <si>
    <t>In case of inerodible strata (like rock) occurring at higher levels, the founding level can be at such higher level.</t>
  </si>
  <si>
    <r>
      <t xml:space="preserve">1.   </t>
    </r>
    <r>
      <rPr>
        <b/>
        <u/>
        <sz val="14"/>
        <color theme="1"/>
        <rFont val="Calibri"/>
        <family val="2"/>
        <scheme val="minor"/>
      </rPr>
      <t>Calculation of Afflux</t>
    </r>
    <r>
      <rPr>
        <b/>
        <sz val="14"/>
        <color theme="1"/>
        <rFont val="Calibri"/>
        <family val="2"/>
        <scheme val="minor"/>
      </rPr>
      <t xml:space="preserve"> (h)</t>
    </r>
  </si>
  <si>
    <t>Reduced Afflux if bed is non-erodible</t>
  </si>
  <si>
    <t>Afflux value to be adopted, (D) or (E) above</t>
  </si>
  <si>
    <t>Clerance required (mm)</t>
  </si>
  <si>
    <t>300-400 (Prorata)</t>
  </si>
  <si>
    <t>31 to 300</t>
  </si>
  <si>
    <t>400-1200 (Prorata)</t>
  </si>
  <si>
    <t xml:space="preserve">Clearance for navigation (in navigation channels) </t>
  </si>
  <si>
    <t>[For existing bridge, where bottom level of superstructure is known, by deducting from it the HFL in Item 2(I) above, availbale Clerance can be calculated]</t>
  </si>
  <si>
    <t>Superstructure bottom level kept at Minimum level of</t>
  </si>
  <si>
    <t>Level of top of Superstructure or Approach Bank (Min.)</t>
  </si>
  <si>
    <t>[For existing bridge, where level of Approach Bank and Top of Guide Bund are known, by deducting from them the HFL in Item 2(I) above, available Free Board can be calculated]</t>
  </si>
  <si>
    <t>Number of Spans decided based on Rail Structure Intercation (RSI) Anlaysis, for permititng LWR/CWR over the Bridge deck (if done in this case)</t>
  </si>
  <si>
    <t xml:space="preserve">(D) </t>
  </si>
  <si>
    <t>No. of Spans decided, based on (A) or (B) or (C) above</t>
  </si>
  <si>
    <t>Number of Spans for other than navigational channels, absed on overall cost consideration for the Bridge (See Table on RH side)</t>
  </si>
  <si>
    <t>Gross Waterway being provided = (F) * (D)</t>
  </si>
  <si>
    <t>If river is of flashy nature or the bed material is not alluvial and does not get scoured easily, width of waterway at HFL level for calculated design discharge</t>
  </si>
  <si>
    <t>(3) Unit Cost of Pier and Foundation (In Lakhs)</t>
  </si>
  <si>
    <t>190/11-12</t>
  </si>
  <si>
    <t xml:space="preserve">Calculation of Linear Waterway, Span Lengths, Scour Depth and Foundation Level for Bridges </t>
  </si>
  <si>
    <t>Developed By: R. K. Shekhawat, Sr. Prof. (Projects), IRICEN, PUNE</t>
  </si>
  <si>
    <t>Planning for a Bridge in Guna - Maksi Section, Western Railway</t>
  </si>
  <si>
    <t>The cells shown with this type of Blue Background only are allowed for making entries.  Other Celss are locked and cannot be edited.</t>
  </si>
  <si>
    <t>Note:</t>
  </si>
  <si>
    <t>Please read all the Sheets starting from First to Last Sheet.  Read the contents of the sheet and make entires at instructed therein.</t>
  </si>
  <si>
    <t>If some inout is not applicable, leave it Blank.</t>
  </si>
  <si>
    <t>Number of Spans proposed =</t>
  </si>
  <si>
    <t>[Check that this waterway is more than waterway proposed in 1(E) above. Otherwise, increase one span in Item 2(H) above and repeat the calculations from there onwards]</t>
  </si>
  <si>
    <t>Max. Scour Depth for Abutments from (A)(vi)(a), (B)(iii) or (C) (iii) above</t>
  </si>
  <si>
    <t>Max. Scour Depth for Piers from (A)(vi)(b), (B)(iii) or (C) (iii) above</t>
  </si>
  <si>
    <t>(If relaxation has been taken from CBE)</t>
  </si>
  <si>
    <t>Bed Level of River at Bridge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</si>
</sst>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21" x14ac:knownFonts="1">
    <font>
      <sz val="11"/>
      <color theme="1"/>
      <name val="Calibri"/>
      <family val="2"/>
      <scheme val="minor"/>
    </font>
    <font>
      <b/>
      <u/>
      <sz val="18"/>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1"/>
      <color rgb="FF000000"/>
      <name val="Verdana"/>
      <family val="2"/>
    </font>
    <font>
      <vertAlign val="subscript"/>
      <sz val="11"/>
      <color rgb="FF000000"/>
      <name val="Verdana"/>
      <family val="2"/>
    </font>
    <font>
      <vertAlign val="superscript"/>
      <sz val="11"/>
      <color rgb="FF000000"/>
      <name val="Verdana"/>
      <family val="2"/>
    </font>
    <font>
      <b/>
      <sz val="12"/>
      <color rgb="FF262626"/>
      <name val="Calibri"/>
      <family val="2"/>
      <scheme val="minor"/>
    </font>
    <font>
      <sz val="12"/>
      <color rgb="FF262626"/>
      <name val="Calibri"/>
      <family val="2"/>
      <scheme val="minor"/>
    </font>
    <font>
      <b/>
      <vertAlign val="subscript"/>
      <sz val="12"/>
      <color theme="1"/>
      <name val="Calibri"/>
      <family val="2"/>
      <scheme val="minor"/>
    </font>
    <font>
      <b/>
      <vertAlign val="superscript"/>
      <sz val="12"/>
      <color theme="1"/>
      <name val="Calibri"/>
      <family val="2"/>
      <scheme val="minor"/>
    </font>
    <font>
      <sz val="14"/>
      <color theme="1"/>
      <name val="Calibri"/>
      <family val="2"/>
      <scheme val="minor"/>
    </font>
    <font>
      <b/>
      <sz val="12"/>
      <color theme="1"/>
      <name val="Calibri"/>
      <family val="2"/>
    </font>
    <font>
      <vertAlign val="superscript"/>
      <sz val="12"/>
      <color theme="1"/>
      <name val="Calibri"/>
      <family val="2"/>
      <scheme val="minor"/>
    </font>
    <font>
      <b/>
      <sz val="12"/>
      <name val="Calibri"/>
      <family val="2"/>
      <scheme val="minor"/>
    </font>
    <font>
      <b/>
      <vertAlign val="subscript"/>
      <sz val="14"/>
      <color theme="1"/>
      <name val="Calibri"/>
      <family val="2"/>
      <scheme val="minor"/>
    </font>
    <font>
      <b/>
      <sz val="13"/>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3" fillId="0" borderId="0" xfId="0" applyFont="1"/>
    <xf numFmtId="0" fontId="4" fillId="0" borderId="0" xfId="0" applyFont="1"/>
    <xf numFmtId="0" fontId="5" fillId="0" borderId="0" xfId="0" applyFont="1"/>
    <xf numFmtId="0" fontId="4" fillId="0" borderId="2" xfId="0" applyFont="1" applyBorder="1" applyAlignment="1">
      <alignment horizontal="center"/>
    </xf>
    <xf numFmtId="0" fontId="4" fillId="0" borderId="2" xfId="0" applyFont="1" applyBorder="1" applyAlignment="1">
      <alignment horizontal="left"/>
    </xf>
    <xf numFmtId="0" fontId="7" fillId="0" borderId="2" xfId="0" applyFont="1" applyBorder="1" applyAlignment="1">
      <alignment horizontal="center"/>
    </xf>
    <xf numFmtId="2" fontId="3" fillId="0" borderId="2" xfId="0" applyNumberFormat="1" applyFont="1" applyBorder="1" applyAlignment="1">
      <alignment horizontal="center"/>
    </xf>
    <xf numFmtId="0" fontId="4" fillId="0" borderId="0" xfId="0" applyFont="1" applyAlignment="1">
      <alignment horizontal="left"/>
    </xf>
    <xf numFmtId="0" fontId="7" fillId="0" borderId="0" xfId="0" applyFont="1" applyAlignment="1">
      <alignment horizontal="center"/>
    </xf>
    <xf numFmtId="2" fontId="3" fillId="0" borderId="0" xfId="0" applyNumberFormat="1" applyFont="1" applyAlignment="1">
      <alignment horizont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right" vertical="center"/>
    </xf>
    <xf numFmtId="0" fontId="3" fillId="0" borderId="2" xfId="0" applyFont="1" applyBorder="1"/>
    <xf numFmtId="0" fontId="4" fillId="0" borderId="0" xfId="0" applyFont="1" applyAlignment="1">
      <alignment horizontal="right"/>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3" xfId="0" applyFont="1" applyBorder="1" applyAlignment="1">
      <alignment vertical="top" wrapText="1"/>
    </xf>
    <xf numFmtId="0" fontId="10" fillId="3" borderId="2" xfId="0" applyFont="1" applyFill="1" applyBorder="1" applyAlignment="1">
      <alignment horizontal="center" vertical="center" wrapText="1" readingOrder="1"/>
    </xf>
    <xf numFmtId="0" fontId="11" fillId="3" borderId="2" xfId="0" applyFont="1" applyFill="1" applyBorder="1" applyAlignment="1">
      <alignment horizontal="center" vertical="center" wrapText="1" readingOrder="1"/>
    </xf>
    <xf numFmtId="0" fontId="4" fillId="0" borderId="0" xfId="0" applyFont="1" applyAlignment="1">
      <alignment horizontal="justify" wrapText="1"/>
    </xf>
    <xf numFmtId="0" fontId="4" fillId="0" borderId="0" xfId="0" applyFont="1" applyAlignment="1">
      <alignment horizontal="center" vertical="center" wrapText="1"/>
    </xf>
    <xf numFmtId="2" fontId="4" fillId="0" borderId="0" xfId="0" applyNumberFormat="1" applyFont="1" applyAlignment="1">
      <alignment horizontal="center"/>
    </xf>
    <xf numFmtId="0" fontId="4" fillId="0" borderId="0" xfId="0" applyFont="1" applyAlignment="1">
      <alignment horizontal="justify" vertical="center" wrapText="1"/>
    </xf>
    <xf numFmtId="0" fontId="4"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vertical="center" wrapText="1"/>
    </xf>
    <xf numFmtId="0" fontId="2" fillId="3" borderId="0" xfId="0" applyFont="1" applyFill="1"/>
    <xf numFmtId="0" fontId="14" fillId="0" borderId="0" xfId="0" applyFont="1"/>
    <xf numFmtId="164" fontId="4" fillId="0" borderId="0" xfId="0" applyNumberFormat="1" applyFont="1" applyAlignment="1">
      <alignment horizontal="center"/>
    </xf>
    <xf numFmtId="0" fontId="6" fillId="0" borderId="0" xfId="0" applyFont="1"/>
    <xf numFmtId="0" fontId="5" fillId="0" borderId="0" xfId="0" applyFont="1" applyAlignment="1">
      <alignment horizontal="left"/>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justify" wrapText="1"/>
    </xf>
    <xf numFmtId="0" fontId="3" fillId="0" borderId="0" xfId="0" applyFont="1" applyProtection="1">
      <protection locked="0"/>
    </xf>
    <xf numFmtId="2" fontId="2" fillId="2" borderId="1" xfId="0" applyNumberFormat="1" applyFont="1" applyFill="1" applyBorder="1" applyAlignment="1" applyProtection="1">
      <alignment horizontal="center"/>
      <protection locked="0"/>
    </xf>
    <xf numFmtId="2" fontId="3" fillId="0" borderId="0" xfId="0" applyNumberFormat="1" applyFont="1" applyBorder="1" applyAlignment="1">
      <alignment horizontal="center"/>
    </xf>
    <xf numFmtId="0" fontId="3" fillId="0" borderId="0" xfId="0" applyFont="1" applyAlignment="1">
      <alignment horizontal="right" vertical="center"/>
    </xf>
    <xf numFmtId="0" fontId="4" fillId="0" borderId="0" xfId="0" applyFont="1" applyAlignment="1">
      <alignment wrapText="1"/>
    </xf>
    <xf numFmtId="0" fontId="3" fillId="0" borderId="0" xfId="0" applyFont="1" applyAlignment="1">
      <alignment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0" fontId="17" fillId="3"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justify"/>
    </xf>
    <xf numFmtId="2" fontId="4" fillId="0" borderId="0" xfId="0" applyNumberFormat="1" applyFont="1" applyAlignment="1">
      <alignment vertical="center" wrapText="1"/>
    </xf>
    <xf numFmtId="164" fontId="4" fillId="0" borderId="0" xfId="0" applyNumberFormat="1" applyFont="1" applyAlignment="1">
      <alignment horizontal="center" vertical="center"/>
    </xf>
    <xf numFmtId="9" fontId="3" fillId="0" borderId="2" xfId="0" applyNumberFormat="1" applyFont="1" applyBorder="1" applyAlignment="1">
      <alignment horizontal="center"/>
    </xf>
    <xf numFmtId="0" fontId="3" fillId="0" borderId="2" xfId="0" applyFont="1" applyBorder="1" applyAlignment="1">
      <alignment horizontal="center"/>
    </xf>
    <xf numFmtId="0" fontId="2" fillId="3" borderId="0" xfId="0" applyFont="1" applyFill="1" applyProtection="1">
      <protection locked="0"/>
    </xf>
    <xf numFmtId="0" fontId="2" fillId="2" borderId="2" xfId="0" applyFont="1" applyFill="1" applyBorder="1" applyAlignment="1" applyProtection="1">
      <alignment horizontal="center" vertical="center"/>
      <protection locked="0"/>
    </xf>
    <xf numFmtId="0" fontId="3" fillId="0" borderId="0" xfId="0" applyFont="1" applyAlignment="1">
      <alignment horizontal="right"/>
    </xf>
    <xf numFmtId="164" fontId="2" fillId="2" borderId="2" xfId="0" applyNumberFormat="1" applyFont="1" applyFill="1" applyBorder="1" applyAlignment="1" applyProtection="1">
      <alignment horizontal="center"/>
      <protection locked="0"/>
    </xf>
    <xf numFmtId="0" fontId="4" fillId="0" borderId="0" xfId="0" applyFont="1" applyAlignment="1">
      <alignment horizontal="justify" wrapText="1"/>
    </xf>
    <xf numFmtId="0" fontId="4" fillId="0" borderId="0" xfId="0" applyFont="1" applyAlignment="1">
      <alignment horizontal="right" vertical="center"/>
    </xf>
    <xf numFmtId="0" fontId="4" fillId="0" borderId="0" xfId="0" applyFont="1" applyBorder="1" applyAlignment="1">
      <alignment horizontal="justify" wrapText="1"/>
    </xf>
    <xf numFmtId="164" fontId="4" fillId="0" borderId="1" xfId="0" applyNumberFormat="1" applyFont="1" applyBorder="1" applyAlignment="1">
      <alignment horizontal="center" vertical="center"/>
    </xf>
    <xf numFmtId="0" fontId="2" fillId="2" borderId="1" xfId="0" applyFont="1" applyFill="1" applyBorder="1" applyProtection="1">
      <protection locked="0"/>
    </xf>
    <xf numFmtId="0" fontId="2" fillId="2" borderId="10" xfId="0" applyFont="1" applyFill="1" applyBorder="1" applyProtection="1">
      <protection locked="0"/>
    </xf>
    <xf numFmtId="0" fontId="2" fillId="2" borderId="11" xfId="0" applyFont="1" applyFill="1" applyBorder="1" applyProtection="1">
      <protection locked="0"/>
    </xf>
    <xf numFmtId="0" fontId="2" fillId="2" borderId="12" xfId="0" applyFont="1" applyFill="1" applyBorder="1" applyProtection="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19" fillId="0" borderId="0" xfId="0" applyFont="1" applyAlignment="1">
      <alignment horizontal="left"/>
    </xf>
    <xf numFmtId="0" fontId="4" fillId="0" borderId="0" xfId="0" applyFont="1" applyAlignment="1"/>
    <xf numFmtId="0" fontId="20" fillId="0" borderId="0" xfId="0" applyFont="1"/>
    <xf numFmtId="2" fontId="4" fillId="3" borderId="7" xfId="0" applyNumberFormat="1" applyFont="1" applyFill="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xf>
    <xf numFmtId="0" fontId="4" fillId="2" borderId="1" xfId="0"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164" fontId="2" fillId="2" borderId="1" xfId="0" applyNumberFormat="1" applyFont="1" applyFill="1" applyBorder="1" applyAlignment="1" applyProtection="1">
      <alignment horizontal="center" vertical="center"/>
      <protection locked="0"/>
    </xf>
    <xf numFmtId="164" fontId="4" fillId="0" borderId="0" xfId="0" applyNumberFormat="1" applyFont="1" applyAlignment="1">
      <alignment horizontal="center" vertical="center" wrapText="1"/>
    </xf>
    <xf numFmtId="0" fontId="3" fillId="0" borderId="4" xfId="0" applyFont="1" applyBorder="1"/>
    <xf numFmtId="164" fontId="2" fillId="2" borderId="1" xfId="0" applyNumberFormat="1" applyFont="1" applyFill="1" applyBorder="1" applyAlignment="1" applyProtection="1">
      <alignment horizontal="center"/>
      <protection locked="0"/>
    </xf>
    <xf numFmtId="164" fontId="2" fillId="2" borderId="1" xfId="0" applyNumberFormat="1" applyFont="1" applyFill="1" applyBorder="1" applyProtection="1">
      <protection locked="0"/>
    </xf>
    <xf numFmtId="164" fontId="3" fillId="2" borderId="1" xfId="0" applyNumberFormat="1" applyFont="1" applyFill="1" applyBorder="1" applyProtection="1">
      <protection locked="0"/>
    </xf>
    <xf numFmtId="0" fontId="4" fillId="0" borderId="1" xfId="0" applyFont="1" applyBorder="1" applyAlignment="1">
      <alignment horizontal="center"/>
    </xf>
    <xf numFmtId="0" fontId="19" fillId="0" borderId="10" xfId="0" applyFont="1" applyBorder="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4" fillId="0" borderId="0" xfId="0" applyFont="1" applyAlignment="1">
      <alignment horizontal="left"/>
    </xf>
    <xf numFmtId="0" fontId="4" fillId="0" borderId="0" xfId="0" applyFont="1" applyAlignment="1">
      <alignment horizontal="right" vertical="center"/>
    </xf>
    <xf numFmtId="164" fontId="4" fillId="0" borderId="0" xfId="0" applyNumberFormat="1" applyFont="1" applyAlignment="1">
      <alignment horizontal="center" vertical="center"/>
    </xf>
    <xf numFmtId="0" fontId="4" fillId="0" borderId="0" xfId="0" applyFont="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2" xfId="0" applyFont="1" applyBorder="1" applyAlignment="1">
      <alignment horizontal="center"/>
    </xf>
    <xf numFmtId="0" fontId="4" fillId="0" borderId="0" xfId="0" applyFont="1" applyAlignment="1">
      <alignment horizontal="justify" wrapText="1"/>
    </xf>
    <xf numFmtId="0" fontId="4" fillId="0" borderId="0" xfId="0" applyFont="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0" fillId="3" borderId="2" xfId="0" applyFont="1" applyFill="1" applyBorder="1" applyAlignment="1">
      <alignment horizontal="center" vertical="center" wrapText="1" readingOrder="1"/>
    </xf>
    <xf numFmtId="0" fontId="11" fillId="3" borderId="2" xfId="0" applyFont="1" applyFill="1" applyBorder="1" applyAlignment="1">
      <alignment horizontal="left" vertical="center" wrapText="1" readingOrder="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64" fontId="4" fillId="0" borderId="16"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17" xfId="0" applyNumberFormat="1"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Alignment="1">
      <alignment horizontal="left" wrapText="1"/>
    </xf>
    <xf numFmtId="0" fontId="4" fillId="0" borderId="0" xfId="0" applyFont="1" applyAlignment="1">
      <alignment horizontal="justify"/>
    </xf>
    <xf numFmtId="0" fontId="4" fillId="0" borderId="0" xfId="0" applyFont="1" applyAlignment="1">
      <alignment horizontal="justify" vertical="top" wrapText="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0" borderId="0" xfId="0" applyFont="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xf>
    <xf numFmtId="0" fontId="4" fillId="0" borderId="0" xfId="0" applyFont="1" applyBorder="1" applyAlignment="1">
      <alignment horizontal="justify" vertical="center" wrapText="1"/>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Border="1" applyAlignment="1">
      <alignment horizontal="left" wrapText="1"/>
    </xf>
    <xf numFmtId="0" fontId="3" fillId="0" borderId="2" xfId="0" applyFont="1" applyBorder="1" applyAlignment="1">
      <alignment horizontal="center"/>
    </xf>
    <xf numFmtId="0" fontId="3" fillId="0" borderId="2" xfId="0" applyFont="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346428</xdr:colOff>
      <xdr:row>96</xdr:row>
      <xdr:rowOff>335336</xdr:rowOff>
    </xdr:from>
    <xdr:to>
      <xdr:col>9</xdr:col>
      <xdr:colOff>1591028</xdr:colOff>
      <xdr:row>103</xdr:row>
      <xdr:rowOff>98778</xdr:rowOff>
    </xdr:to>
    <xdr:pic>
      <xdr:nvPicPr>
        <xdr:cNvPr id="3" name="Picture 2">
          <a:extLst>
            <a:ext uri="{FF2B5EF4-FFF2-40B4-BE49-F238E27FC236}">
              <a16:creationId xmlns:a16="http://schemas.microsoft.com/office/drawing/2014/main" id="{02EF4525-371A-4C44-94BB-718D29207F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11372" y="22708503"/>
          <a:ext cx="1851378" cy="1379164"/>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06"/>
  <sheetViews>
    <sheetView tabSelected="1" zoomScale="90" zoomScaleNormal="90" workbookViewId="0">
      <selection activeCell="H69" sqref="H69"/>
    </sheetView>
  </sheetViews>
  <sheetFormatPr defaultRowHeight="15.5" x14ac:dyDescent="0.35"/>
  <cols>
    <col min="1" max="1" width="4.54296875" style="1" customWidth="1"/>
    <col min="2" max="7" width="8.7265625" style="1"/>
    <col min="8" max="8" width="8.7265625" style="1" customWidth="1"/>
    <col min="9" max="9" width="8.7265625" style="1"/>
    <col min="10" max="10" width="23.81640625" style="1" customWidth="1"/>
    <col min="11" max="11" width="21.26953125" style="1" bestFit="1" customWidth="1"/>
    <col min="12" max="12" width="12.81640625" style="1" customWidth="1"/>
    <col min="13" max="13" width="14.6328125" style="1" customWidth="1"/>
    <col min="14" max="16384" width="8.7265625" style="1"/>
  </cols>
  <sheetData>
    <row r="1" spans="2:19" ht="16" thickBot="1" x14ac:dyDescent="0.4"/>
    <row r="2" spans="2:19" ht="22" customHeight="1" thickBot="1" x14ac:dyDescent="0.4">
      <c r="B2" s="93" t="s">
        <v>212</v>
      </c>
      <c r="C2" s="94"/>
      <c r="D2" s="94"/>
      <c r="E2" s="94"/>
      <c r="F2" s="94"/>
      <c r="G2" s="94"/>
      <c r="H2" s="94"/>
      <c r="I2" s="94"/>
      <c r="J2" s="94"/>
      <c r="K2" s="94"/>
      <c r="L2" s="94"/>
      <c r="M2" s="95"/>
      <c r="N2" s="30"/>
      <c r="O2" s="30"/>
      <c r="P2" s="30"/>
      <c r="Q2" s="30"/>
      <c r="R2" s="30"/>
      <c r="S2" s="30"/>
    </row>
    <row r="3" spans="2:19" ht="16" thickBot="1" x14ac:dyDescent="0.4"/>
    <row r="4" spans="2:19" ht="17.5" thickBot="1" x14ac:dyDescent="0.45">
      <c r="J4" s="86" t="s">
        <v>213</v>
      </c>
      <c r="K4" s="87"/>
      <c r="L4" s="87"/>
      <c r="M4" s="88"/>
    </row>
    <row r="5" spans="2:19" ht="17" x14ac:dyDescent="0.4">
      <c r="J5" s="68"/>
      <c r="K5" s="68"/>
      <c r="L5" s="68"/>
      <c r="M5" s="68"/>
    </row>
    <row r="6" spans="2:19" ht="17" x14ac:dyDescent="0.4">
      <c r="B6" s="70" t="s">
        <v>216</v>
      </c>
      <c r="J6" s="68"/>
      <c r="K6" s="68"/>
      <c r="L6" s="68"/>
      <c r="M6" s="68"/>
    </row>
    <row r="7" spans="2:19" ht="17.5" thickBot="1" x14ac:dyDescent="0.45">
      <c r="B7" s="2" t="s">
        <v>217</v>
      </c>
      <c r="J7" s="68"/>
      <c r="K7" s="68"/>
      <c r="L7" s="68"/>
      <c r="M7" s="68"/>
    </row>
    <row r="8" spans="2:19" ht="17" customHeight="1" thickBot="1" x14ac:dyDescent="0.4">
      <c r="B8" s="66"/>
      <c r="C8" s="69" t="s">
        <v>215</v>
      </c>
      <c r="D8" s="69"/>
      <c r="E8" s="69"/>
      <c r="F8" s="69"/>
      <c r="G8" s="69"/>
      <c r="H8" s="69"/>
      <c r="I8" s="69"/>
      <c r="J8" s="69"/>
      <c r="K8" s="69"/>
      <c r="L8" s="69"/>
      <c r="M8" s="69"/>
    </row>
    <row r="9" spans="2:19" ht="17" customHeight="1" x14ac:dyDescent="0.4">
      <c r="B9" s="2" t="s">
        <v>218</v>
      </c>
      <c r="J9" s="68"/>
      <c r="K9" s="68"/>
      <c r="L9" s="68"/>
      <c r="M9" s="68"/>
    </row>
    <row r="10" spans="2:19" ht="16" thickBot="1" x14ac:dyDescent="0.4"/>
    <row r="11" spans="2:19" ht="16" thickBot="1" x14ac:dyDescent="0.4">
      <c r="B11" s="2" t="s">
        <v>0</v>
      </c>
      <c r="E11" s="63" t="s">
        <v>214</v>
      </c>
      <c r="F11" s="64"/>
      <c r="G11" s="64"/>
      <c r="H11" s="62"/>
      <c r="I11" s="64"/>
      <c r="J11" s="64"/>
      <c r="K11" s="64"/>
      <c r="L11" s="64"/>
      <c r="M11" s="65"/>
      <c r="N11" s="31"/>
      <c r="O11" s="54"/>
      <c r="P11" s="31"/>
      <c r="Q11" s="31"/>
    </row>
    <row r="12" spans="2:19" ht="16" thickBot="1" x14ac:dyDescent="0.4"/>
    <row r="13" spans="2:19" ht="16" thickBot="1" x14ac:dyDescent="0.4">
      <c r="B13" s="2" t="s">
        <v>2</v>
      </c>
      <c r="D13" s="66">
        <v>221</v>
      </c>
      <c r="F13" s="2" t="s">
        <v>1</v>
      </c>
      <c r="H13" s="118" t="s">
        <v>211</v>
      </c>
      <c r="I13" s="120"/>
    </row>
    <row r="14" spans="2:19" ht="16" thickBot="1" x14ac:dyDescent="0.4">
      <c r="J14" s="39"/>
      <c r="L14" s="39"/>
    </row>
    <row r="15" spans="2:19" ht="16" thickBot="1" x14ac:dyDescent="0.4">
      <c r="B15" s="2" t="s">
        <v>3</v>
      </c>
      <c r="H15" s="66">
        <v>2100</v>
      </c>
      <c r="I15" s="1" t="s">
        <v>4</v>
      </c>
    </row>
    <row r="16" spans="2:19" x14ac:dyDescent="0.35">
      <c r="M16" s="39"/>
      <c r="O16" s="39"/>
    </row>
    <row r="17" spans="2:12" ht="18.5" x14ac:dyDescent="0.45">
      <c r="B17" s="3" t="s">
        <v>5</v>
      </c>
    </row>
    <row r="18" spans="2:12" x14ac:dyDescent="0.35">
      <c r="B18" s="2" t="s">
        <v>143</v>
      </c>
    </row>
    <row r="19" spans="2:12" ht="16" thickBot="1" x14ac:dyDescent="0.4"/>
    <row r="20" spans="2:12" ht="16" thickBot="1" x14ac:dyDescent="0.4">
      <c r="B20" s="2" t="s">
        <v>6</v>
      </c>
      <c r="G20" s="40"/>
      <c r="H20" s="1" t="s">
        <v>7</v>
      </c>
      <c r="J20" s="4" t="s">
        <v>8</v>
      </c>
      <c r="K20" s="4" t="s">
        <v>9</v>
      </c>
      <c r="L20" s="4" t="s">
        <v>10</v>
      </c>
    </row>
    <row r="21" spans="2:12" ht="17" x14ac:dyDescent="0.4">
      <c r="J21" s="5" t="s">
        <v>11</v>
      </c>
      <c r="K21" s="6" t="s">
        <v>12</v>
      </c>
      <c r="L21" s="7">
        <f>8.6*(($H$15)^(1/3))</f>
        <v>110.12980818892447</v>
      </c>
    </row>
    <row r="22" spans="2:12" ht="17" x14ac:dyDescent="0.4">
      <c r="J22" s="5" t="s">
        <v>13</v>
      </c>
      <c r="K22" s="6" t="s">
        <v>14</v>
      </c>
      <c r="L22" s="7">
        <f>7.28 * (($H$15)^(1/3))</f>
        <v>93.226163211089556</v>
      </c>
    </row>
    <row r="23" spans="2:12" ht="17" x14ac:dyDescent="0.4">
      <c r="J23" s="5" t="s">
        <v>15</v>
      </c>
      <c r="K23" s="6" t="s">
        <v>16</v>
      </c>
      <c r="L23" s="7">
        <f>5.77 * (($H$15)^(1/3))</f>
        <v>73.889417819778387</v>
      </c>
    </row>
    <row r="24" spans="2:12" ht="17" x14ac:dyDescent="0.4">
      <c r="J24" s="5" t="s">
        <v>17</v>
      </c>
      <c r="K24" s="6" t="s">
        <v>18</v>
      </c>
      <c r="L24" s="7">
        <f>4.98 * (($H$15)^(1/3))</f>
        <v>63.772842416377202</v>
      </c>
    </row>
    <row r="25" spans="2:12" ht="17" x14ac:dyDescent="0.4">
      <c r="J25" s="5" t="s">
        <v>19</v>
      </c>
      <c r="K25" s="6" t="s">
        <v>20</v>
      </c>
      <c r="L25" s="7">
        <f>9.84 * (($H$15)^(1/3))</f>
        <v>126.00898983476939</v>
      </c>
    </row>
    <row r="26" spans="2:12" x14ac:dyDescent="0.35">
      <c r="B26" s="2" t="s">
        <v>144</v>
      </c>
      <c r="J26" s="8"/>
      <c r="K26" s="9"/>
      <c r="L26" s="10"/>
    </row>
    <row r="27" spans="2:12" ht="17.5" thickBot="1" x14ac:dyDescent="0.45">
      <c r="B27" s="1" t="s">
        <v>21</v>
      </c>
      <c r="H27" s="71">
        <f>1.811*2.67*SQRT($H$15)</f>
        <v>221.58449038118616</v>
      </c>
      <c r="I27" s="1" t="s">
        <v>7</v>
      </c>
      <c r="J27" s="6" t="s">
        <v>22</v>
      </c>
      <c r="K27" s="41"/>
      <c r="L27" s="10"/>
    </row>
    <row r="28" spans="2:12" ht="16" thickBot="1" x14ac:dyDescent="0.4">
      <c r="B28" s="1" t="s">
        <v>146</v>
      </c>
      <c r="H28" s="66">
        <v>170</v>
      </c>
      <c r="I28" s="1" t="s">
        <v>7</v>
      </c>
    </row>
    <row r="29" spans="2:12" ht="16" thickBot="1" x14ac:dyDescent="0.4">
      <c r="B29" s="1" t="s">
        <v>145</v>
      </c>
      <c r="H29" s="66">
        <v>205</v>
      </c>
      <c r="I29" s="1" t="s">
        <v>7</v>
      </c>
    </row>
    <row r="30" spans="2:12" ht="16" thickBot="1" x14ac:dyDescent="0.4">
      <c r="B30" s="2" t="s">
        <v>149</v>
      </c>
      <c r="H30" s="66">
        <v>205</v>
      </c>
      <c r="I30" s="1" t="s">
        <v>7</v>
      </c>
    </row>
    <row r="32" spans="2:12" ht="16" thickBot="1" x14ac:dyDescent="0.4">
      <c r="B32" s="2" t="s">
        <v>148</v>
      </c>
    </row>
    <row r="33" spans="2:15" ht="46.5" customHeight="1" thickBot="1" x14ac:dyDescent="0.4">
      <c r="B33" s="42" t="s">
        <v>23</v>
      </c>
      <c r="C33" s="121" t="s">
        <v>24</v>
      </c>
      <c r="D33" s="121"/>
      <c r="E33" s="121"/>
      <c r="F33" s="121"/>
      <c r="G33" s="122"/>
      <c r="H33" s="67"/>
      <c r="I33" s="12" t="s">
        <v>7</v>
      </c>
    </row>
    <row r="34" spans="2:15" ht="63" customHeight="1" thickBot="1" x14ac:dyDescent="0.4">
      <c r="B34" s="42" t="s">
        <v>25</v>
      </c>
      <c r="C34" s="123" t="s">
        <v>209</v>
      </c>
      <c r="D34" s="123"/>
      <c r="E34" s="123"/>
      <c r="F34" s="123"/>
      <c r="G34" s="123"/>
      <c r="H34" s="67"/>
      <c r="I34" s="12" t="s">
        <v>7</v>
      </c>
    </row>
    <row r="35" spans="2:15" ht="34" customHeight="1" thickBot="1" x14ac:dyDescent="0.4">
      <c r="B35" s="42" t="s">
        <v>26</v>
      </c>
      <c r="C35" s="123" t="s">
        <v>147</v>
      </c>
      <c r="D35" s="123"/>
      <c r="E35" s="123"/>
      <c r="F35" s="123"/>
      <c r="G35" s="123"/>
      <c r="H35" s="67"/>
      <c r="I35" s="12" t="s">
        <v>7</v>
      </c>
    </row>
    <row r="36" spans="2:15" ht="16" thickBot="1" x14ac:dyDescent="0.4">
      <c r="B36" s="36" t="s">
        <v>92</v>
      </c>
      <c r="C36" s="125" t="s">
        <v>150</v>
      </c>
      <c r="D36" s="125"/>
      <c r="E36" s="125"/>
      <c r="F36" s="125"/>
      <c r="G36" s="125"/>
      <c r="H36" s="67"/>
      <c r="I36" s="12"/>
    </row>
    <row r="37" spans="2:15" x14ac:dyDescent="0.35">
      <c r="B37" s="2" t="s">
        <v>27</v>
      </c>
      <c r="J37" s="44"/>
    </row>
    <row r="38" spans="2:15" ht="16" thickBot="1" x14ac:dyDescent="0.4">
      <c r="B38" s="2" t="s">
        <v>153</v>
      </c>
    </row>
    <row r="39" spans="2:15" ht="31" customHeight="1" thickBot="1" x14ac:dyDescent="0.4">
      <c r="B39" s="2"/>
      <c r="C39" s="126" t="s">
        <v>151</v>
      </c>
      <c r="D39" s="126"/>
      <c r="E39" s="126"/>
      <c r="F39" s="126"/>
      <c r="G39" s="126"/>
      <c r="H39" s="67"/>
      <c r="I39" s="12" t="s">
        <v>7</v>
      </c>
    </row>
    <row r="40" spans="2:15" ht="16" thickBot="1" x14ac:dyDescent="0.4"/>
    <row r="41" spans="2:15" ht="30.5" customHeight="1" thickBot="1" x14ac:dyDescent="0.4">
      <c r="B41" s="37" t="s">
        <v>109</v>
      </c>
      <c r="C41" s="92" t="s">
        <v>152</v>
      </c>
      <c r="D41" s="92"/>
      <c r="E41" s="92"/>
      <c r="F41" s="92"/>
      <c r="G41" s="124"/>
      <c r="H41" s="67">
        <v>205</v>
      </c>
      <c r="I41" s="12" t="s">
        <v>7</v>
      </c>
    </row>
    <row r="43" spans="2:15" ht="18.5" x14ac:dyDescent="0.45">
      <c r="B43" s="3" t="s">
        <v>75</v>
      </c>
    </row>
    <row r="44" spans="2:15" ht="16" thickBot="1" x14ac:dyDescent="0.4"/>
    <row r="45" spans="2:15" ht="46" customHeight="1" thickBot="1" x14ac:dyDescent="0.4">
      <c r="B45" s="13" t="s">
        <v>44</v>
      </c>
      <c r="C45" s="97" t="s">
        <v>28</v>
      </c>
      <c r="D45" s="97"/>
      <c r="E45" s="97"/>
      <c r="F45" s="97"/>
      <c r="G45" s="97"/>
      <c r="H45" s="67"/>
      <c r="I45" s="12"/>
    </row>
    <row r="46" spans="2:15" ht="16" thickBot="1" x14ac:dyDescent="0.4">
      <c r="B46" s="59"/>
      <c r="C46" s="58"/>
      <c r="D46" s="58"/>
      <c r="E46" s="58"/>
      <c r="F46" s="58"/>
      <c r="G46" s="58"/>
      <c r="H46" s="12"/>
      <c r="I46" s="12"/>
    </row>
    <row r="47" spans="2:15" ht="62.5" customHeight="1" thickBot="1" x14ac:dyDescent="0.4">
      <c r="B47" s="59" t="s">
        <v>30</v>
      </c>
      <c r="C47" s="97" t="s">
        <v>204</v>
      </c>
      <c r="D47" s="97"/>
      <c r="E47" s="97"/>
      <c r="F47" s="97"/>
      <c r="G47" s="97"/>
      <c r="H47" s="67"/>
      <c r="I47" s="12"/>
    </row>
    <row r="48" spans="2:15" ht="16" thickBot="1" x14ac:dyDescent="0.4">
      <c r="J48" s="14"/>
      <c r="K48" s="14"/>
      <c r="L48" s="4"/>
      <c r="M48" s="72" t="s">
        <v>29</v>
      </c>
      <c r="N48" s="72" t="s">
        <v>56</v>
      </c>
      <c r="O48" s="72" t="s">
        <v>57</v>
      </c>
    </row>
    <row r="49" spans="2:15" ht="45.5" customHeight="1" thickBot="1" x14ac:dyDescent="0.4">
      <c r="B49" s="13" t="s">
        <v>58</v>
      </c>
      <c r="C49" s="92" t="s">
        <v>207</v>
      </c>
      <c r="D49" s="92"/>
      <c r="E49" s="92"/>
      <c r="F49" s="92"/>
      <c r="G49" s="124"/>
      <c r="H49" s="67">
        <v>7</v>
      </c>
      <c r="I49" s="12"/>
      <c r="J49" s="104" t="s">
        <v>31</v>
      </c>
      <c r="K49" s="105"/>
      <c r="L49" s="105"/>
      <c r="M49" s="67">
        <v>5</v>
      </c>
      <c r="N49" s="67">
        <v>6</v>
      </c>
      <c r="O49" s="67">
        <v>7</v>
      </c>
    </row>
    <row r="50" spans="2:15" ht="16" thickBot="1" x14ac:dyDescent="0.4">
      <c r="J50" s="104" t="s">
        <v>32</v>
      </c>
      <c r="K50" s="105"/>
      <c r="L50" s="106"/>
      <c r="M50" s="74">
        <f>M49-1</f>
        <v>4</v>
      </c>
      <c r="N50" s="74">
        <f t="shared" ref="N50:O50" si="0">N49-1</f>
        <v>5</v>
      </c>
      <c r="O50" s="74">
        <f t="shared" si="0"/>
        <v>6</v>
      </c>
    </row>
    <row r="51" spans="2:15" ht="31.5" customHeight="1" thickBot="1" x14ac:dyDescent="0.4">
      <c r="B51" s="36" t="s">
        <v>205</v>
      </c>
      <c r="C51" s="92" t="s">
        <v>206</v>
      </c>
      <c r="D51" s="92"/>
      <c r="E51" s="92"/>
      <c r="F51" s="92"/>
      <c r="G51" s="124"/>
      <c r="H51" s="67">
        <v>7</v>
      </c>
      <c r="J51" s="104" t="s">
        <v>210</v>
      </c>
      <c r="K51" s="105"/>
      <c r="L51" s="105"/>
      <c r="M51" s="67">
        <v>45</v>
      </c>
      <c r="N51" s="67">
        <v>40</v>
      </c>
      <c r="O51" s="67">
        <v>35</v>
      </c>
    </row>
    <row r="52" spans="2:15" ht="16" thickBot="1" x14ac:dyDescent="0.4">
      <c r="J52" s="104" t="s">
        <v>33</v>
      </c>
      <c r="K52" s="105"/>
      <c r="L52" s="106"/>
      <c r="M52" s="74">
        <f>M50*M51</f>
        <v>180</v>
      </c>
      <c r="N52" s="74">
        <f t="shared" ref="N52:O52" si="1">N50*N51</f>
        <v>200</v>
      </c>
      <c r="O52" s="74">
        <f t="shared" si="1"/>
        <v>210</v>
      </c>
    </row>
    <row r="53" spans="2:15" ht="16" thickBot="1" x14ac:dyDescent="0.4">
      <c r="B53" s="15" t="s">
        <v>109</v>
      </c>
      <c r="C53" s="2" t="s">
        <v>154</v>
      </c>
      <c r="H53" s="19">
        <f>$H$41/$H$51</f>
        <v>29.285714285714285</v>
      </c>
      <c r="I53" s="1" t="s">
        <v>7</v>
      </c>
      <c r="J53" s="17" t="s">
        <v>35</v>
      </c>
      <c r="K53" s="14"/>
      <c r="L53" s="75"/>
      <c r="M53" s="67">
        <v>70</v>
      </c>
      <c r="N53" s="67">
        <v>67</v>
      </c>
      <c r="O53" s="67">
        <v>64</v>
      </c>
    </row>
    <row r="54" spans="2:15" ht="16" thickBot="1" x14ac:dyDescent="0.4">
      <c r="J54" s="104" t="s">
        <v>36</v>
      </c>
      <c r="K54" s="105"/>
      <c r="L54" s="106"/>
      <c r="M54" s="74">
        <f>M53*2</f>
        <v>140</v>
      </c>
      <c r="N54" s="74">
        <f t="shared" ref="N54:O54" si="2">N53*2</f>
        <v>134</v>
      </c>
      <c r="O54" s="74">
        <f t="shared" si="2"/>
        <v>128</v>
      </c>
    </row>
    <row r="55" spans="2:15" ht="47.5" customHeight="1" thickBot="1" x14ac:dyDescent="0.4">
      <c r="B55" s="13" t="s">
        <v>138</v>
      </c>
      <c r="C55" s="97" t="s">
        <v>155</v>
      </c>
      <c r="D55" s="97"/>
      <c r="E55" s="97"/>
      <c r="F55" s="97"/>
      <c r="G55" s="97"/>
      <c r="H55" s="67">
        <v>32.886000000000003</v>
      </c>
      <c r="I55" s="18" t="s">
        <v>7</v>
      </c>
      <c r="J55" s="104" t="s">
        <v>38</v>
      </c>
      <c r="K55" s="105"/>
      <c r="L55" s="105"/>
      <c r="M55" s="67">
        <v>200</v>
      </c>
      <c r="N55" s="67">
        <v>170</v>
      </c>
      <c r="O55" s="67">
        <v>140</v>
      </c>
    </row>
    <row r="56" spans="2:15" ht="16" thickBot="1" x14ac:dyDescent="0.4">
      <c r="J56" s="104" t="s">
        <v>39</v>
      </c>
      <c r="K56" s="105"/>
      <c r="L56" s="106"/>
      <c r="M56" s="73">
        <f>M55*M49</f>
        <v>1000</v>
      </c>
      <c r="N56" s="73">
        <f t="shared" ref="N56:O56" si="3">N55*N49</f>
        <v>1020</v>
      </c>
      <c r="O56" s="73">
        <f t="shared" si="3"/>
        <v>980</v>
      </c>
    </row>
    <row r="57" spans="2:15" ht="16" thickBot="1" x14ac:dyDescent="0.4">
      <c r="B57" s="15" t="s">
        <v>43</v>
      </c>
      <c r="C57" s="2" t="s">
        <v>41</v>
      </c>
      <c r="F57" s="118" t="s">
        <v>156</v>
      </c>
      <c r="G57" s="119"/>
      <c r="H57" s="119"/>
      <c r="I57" s="120"/>
      <c r="J57" s="105" t="s">
        <v>42</v>
      </c>
      <c r="K57" s="105"/>
      <c r="L57" s="106"/>
      <c r="M57" s="16">
        <f>M52+M54+M56</f>
        <v>1320</v>
      </c>
      <c r="N57" s="16">
        <f t="shared" ref="N57:O57" si="4">N52+N54+N56</f>
        <v>1354</v>
      </c>
      <c r="O57" s="16">
        <f t="shared" si="4"/>
        <v>1318</v>
      </c>
    </row>
    <row r="59" spans="2:15" x14ac:dyDescent="0.35">
      <c r="B59" s="15" t="s">
        <v>72</v>
      </c>
      <c r="C59" s="89" t="s">
        <v>219</v>
      </c>
      <c r="D59" s="89"/>
      <c r="E59" s="89"/>
      <c r="F59" s="89"/>
      <c r="G59" s="89"/>
      <c r="H59" s="19">
        <v>8</v>
      </c>
    </row>
    <row r="61" spans="2:15" x14ac:dyDescent="0.35">
      <c r="B61" s="15" t="s">
        <v>134</v>
      </c>
      <c r="C61" s="2" t="s">
        <v>208</v>
      </c>
      <c r="H61" s="19">
        <f>H55*H59</f>
        <v>263.08800000000002</v>
      </c>
      <c r="I61" s="18" t="s">
        <v>7</v>
      </c>
    </row>
    <row r="63" spans="2:15" ht="18.5" x14ac:dyDescent="0.45">
      <c r="B63" s="3" t="s">
        <v>176</v>
      </c>
    </row>
    <row r="65" spans="2:14" ht="30.5" customHeight="1" x14ac:dyDescent="0.35">
      <c r="B65" s="36" t="s">
        <v>44</v>
      </c>
      <c r="C65" s="97" t="s">
        <v>157</v>
      </c>
      <c r="D65" s="97"/>
      <c r="E65" s="97"/>
      <c r="F65" s="97"/>
      <c r="G65" s="97"/>
      <c r="H65" s="37">
        <f>$H$61</f>
        <v>263.08800000000002</v>
      </c>
      <c r="I65" s="20" t="s">
        <v>7</v>
      </c>
    </row>
    <row r="66" spans="2:14" ht="16" thickBot="1" x14ac:dyDescent="0.4">
      <c r="B66" s="36"/>
      <c r="C66" s="38"/>
      <c r="D66" s="38"/>
      <c r="E66" s="38"/>
      <c r="F66" s="38"/>
      <c r="G66" s="38"/>
      <c r="H66" s="37"/>
      <c r="I66" s="20"/>
    </row>
    <row r="67" spans="2:14" ht="61" customHeight="1" thickBot="1" x14ac:dyDescent="0.4">
      <c r="B67" s="36" t="s">
        <v>30</v>
      </c>
      <c r="C67" s="97" t="s">
        <v>177</v>
      </c>
      <c r="D67" s="97"/>
      <c r="E67" s="97"/>
      <c r="F67" s="97"/>
      <c r="G67" s="97"/>
      <c r="H67" s="76"/>
      <c r="I67" s="20" t="s">
        <v>7</v>
      </c>
    </row>
    <row r="68" spans="2:14" ht="16" thickBot="1" x14ac:dyDescent="0.4">
      <c r="B68" s="36"/>
      <c r="C68" s="38"/>
      <c r="D68" s="38"/>
      <c r="E68" s="38"/>
      <c r="F68" s="38"/>
      <c r="G68" s="38"/>
      <c r="H68" s="37"/>
      <c r="I68" s="20"/>
    </row>
    <row r="69" spans="2:14" ht="46" customHeight="1" thickBot="1" x14ac:dyDescent="0.4">
      <c r="B69" s="13" t="s">
        <v>58</v>
      </c>
      <c r="C69" s="97" t="s">
        <v>59</v>
      </c>
      <c r="D69" s="97"/>
      <c r="E69" s="97"/>
      <c r="F69" s="97"/>
      <c r="G69" s="97"/>
      <c r="H69" s="79">
        <v>2.3420000000000001</v>
      </c>
      <c r="I69" s="12" t="s">
        <v>7</v>
      </c>
    </row>
    <row r="70" spans="2:14" ht="16" thickBot="1" x14ac:dyDescent="0.4">
      <c r="B70" s="36"/>
      <c r="C70" s="38"/>
      <c r="D70" s="38"/>
      <c r="E70" s="38"/>
      <c r="F70" s="38"/>
      <c r="G70" s="38"/>
      <c r="H70" s="45"/>
      <c r="I70" s="12"/>
    </row>
    <row r="71" spans="2:14" ht="31" customHeight="1" thickBot="1" x14ac:dyDescent="0.4">
      <c r="B71" s="36" t="s">
        <v>34</v>
      </c>
      <c r="C71" s="97" t="s">
        <v>158</v>
      </c>
      <c r="D71" s="97"/>
      <c r="E71" s="97"/>
      <c r="F71" s="97"/>
      <c r="G71" s="97"/>
      <c r="H71" s="61">
        <f>$H$65 * $H$69</f>
        <v>616.15209600000003</v>
      </c>
      <c r="I71" s="48" t="s">
        <v>113</v>
      </c>
    </row>
    <row r="72" spans="2:14" ht="16" thickBot="1" x14ac:dyDescent="0.4">
      <c r="B72" s="36"/>
      <c r="C72" s="38"/>
      <c r="D72" s="38"/>
      <c r="E72" s="38"/>
      <c r="F72" s="38"/>
      <c r="G72" s="60"/>
      <c r="H72" s="47"/>
      <c r="I72" s="46"/>
    </row>
    <row r="73" spans="2:14" ht="32" customHeight="1" thickBot="1" x14ac:dyDescent="0.4">
      <c r="B73" s="36" t="s">
        <v>109</v>
      </c>
      <c r="C73" s="113" t="s">
        <v>165</v>
      </c>
      <c r="D73" s="113"/>
      <c r="E73" s="113"/>
      <c r="F73" s="113"/>
      <c r="G73" s="113"/>
      <c r="H73" s="67"/>
      <c r="I73" s="48" t="s">
        <v>113</v>
      </c>
    </row>
    <row r="74" spans="2:14" ht="16" thickBot="1" x14ac:dyDescent="0.4">
      <c r="B74" s="36"/>
      <c r="C74" s="49"/>
      <c r="D74" s="49"/>
      <c r="E74" s="49"/>
      <c r="F74" s="49"/>
      <c r="G74" s="49"/>
      <c r="H74" s="45"/>
      <c r="I74" s="48"/>
    </row>
    <row r="75" spans="2:14" ht="32" customHeight="1" thickBot="1" x14ac:dyDescent="0.4">
      <c r="B75" s="36" t="s">
        <v>138</v>
      </c>
      <c r="C75" s="97" t="s">
        <v>167</v>
      </c>
      <c r="D75" s="97"/>
      <c r="E75" s="97"/>
      <c r="F75" s="97"/>
      <c r="G75" s="97"/>
      <c r="H75" s="77">
        <v>615.15200000000004</v>
      </c>
      <c r="I75" s="48" t="s">
        <v>113</v>
      </c>
    </row>
    <row r="77" spans="2:14" ht="15.5" customHeight="1" x14ac:dyDescent="0.35">
      <c r="B77" s="36" t="s">
        <v>43</v>
      </c>
      <c r="C77" s="112" t="s">
        <v>159</v>
      </c>
      <c r="D77" s="112"/>
      <c r="E77" s="112"/>
      <c r="F77" s="112"/>
      <c r="G77" s="112"/>
      <c r="H77" s="80">
        <f>$H$15/$H$75</f>
        <v>3.413790412776029</v>
      </c>
      <c r="I77" s="44" t="s">
        <v>60</v>
      </c>
    </row>
    <row r="78" spans="2:14" ht="16" thickBot="1" x14ac:dyDescent="0.4">
      <c r="B78" s="36"/>
      <c r="C78" s="43"/>
      <c r="D78" s="43"/>
      <c r="E78" s="43"/>
      <c r="F78" s="43"/>
      <c r="G78" s="43"/>
      <c r="H78" s="50"/>
      <c r="I78" s="44"/>
    </row>
    <row r="79" spans="2:14" ht="16" thickBot="1" x14ac:dyDescent="0.4">
      <c r="B79" s="15" t="s">
        <v>72</v>
      </c>
      <c r="C79" s="2" t="s">
        <v>160</v>
      </c>
      <c r="H79" s="19">
        <f>($M$80-$M$82)/($M$79+$M$81)</f>
        <v>3.3333333333333335E-3</v>
      </c>
      <c r="J79" s="110" t="s">
        <v>45</v>
      </c>
      <c r="K79" s="111"/>
      <c r="L79" s="111"/>
      <c r="M79" s="66">
        <v>300</v>
      </c>
      <c r="N79" s="2" t="s">
        <v>7</v>
      </c>
    </row>
    <row r="80" spans="2:14" ht="16" thickBot="1" x14ac:dyDescent="0.4">
      <c r="J80" s="110" t="s">
        <v>46</v>
      </c>
      <c r="K80" s="111"/>
      <c r="L80" s="111"/>
      <c r="M80" s="66">
        <v>605.5</v>
      </c>
      <c r="N80" s="2" t="s">
        <v>7</v>
      </c>
    </row>
    <row r="81" spans="2:14" ht="16" thickBot="1" x14ac:dyDescent="0.4">
      <c r="J81" s="110" t="s">
        <v>47</v>
      </c>
      <c r="K81" s="111"/>
      <c r="L81" s="111"/>
      <c r="M81" s="66">
        <v>300</v>
      </c>
      <c r="N81" s="2" t="s">
        <v>7</v>
      </c>
    </row>
    <row r="82" spans="2:14" ht="16" thickBot="1" x14ac:dyDescent="0.4">
      <c r="J82" s="110" t="s">
        <v>48</v>
      </c>
      <c r="K82" s="111"/>
      <c r="L82" s="111"/>
      <c r="M82" s="66">
        <v>603.5</v>
      </c>
      <c r="N82" s="2" t="s">
        <v>7</v>
      </c>
    </row>
    <row r="83" spans="2:14" ht="16" thickBot="1" x14ac:dyDescent="0.4">
      <c r="B83" s="13"/>
      <c r="C83" s="24"/>
      <c r="D83" s="24"/>
      <c r="E83" s="24"/>
      <c r="F83" s="24"/>
      <c r="G83" s="24"/>
      <c r="H83" s="25"/>
      <c r="I83" s="18"/>
    </row>
    <row r="84" spans="2:14" x14ac:dyDescent="0.35">
      <c r="B84" s="90" t="s">
        <v>73</v>
      </c>
      <c r="C84" s="114" t="s">
        <v>161</v>
      </c>
      <c r="D84" s="114"/>
      <c r="E84" s="114"/>
      <c r="F84" s="114"/>
      <c r="G84" s="114"/>
      <c r="H84" s="115">
        <v>0.03</v>
      </c>
      <c r="I84" s="21"/>
      <c r="J84" s="102" t="s">
        <v>49</v>
      </c>
      <c r="K84" s="102"/>
      <c r="L84" s="102"/>
      <c r="M84" s="22" t="s">
        <v>50</v>
      </c>
    </row>
    <row r="85" spans="2:14" x14ac:dyDescent="0.35">
      <c r="B85" s="90"/>
      <c r="C85" s="114"/>
      <c r="D85" s="114"/>
      <c r="E85" s="114"/>
      <c r="F85" s="114"/>
      <c r="G85" s="114"/>
      <c r="H85" s="116"/>
      <c r="I85" s="21"/>
      <c r="J85" s="103" t="s">
        <v>51</v>
      </c>
      <c r="K85" s="103"/>
      <c r="L85" s="103"/>
      <c r="M85" s="23">
        <v>0.03</v>
      </c>
    </row>
    <row r="86" spans="2:14" ht="16" thickBot="1" x14ac:dyDescent="0.4">
      <c r="B86" s="90"/>
      <c r="C86" s="114"/>
      <c r="D86" s="114"/>
      <c r="E86" s="114"/>
      <c r="F86" s="114"/>
      <c r="G86" s="114"/>
      <c r="H86" s="117"/>
      <c r="I86" s="21"/>
      <c r="J86" s="103" t="s">
        <v>52</v>
      </c>
      <c r="K86" s="103"/>
      <c r="L86" s="103"/>
      <c r="M86" s="23">
        <v>0.04</v>
      </c>
    </row>
    <row r="87" spans="2:14" x14ac:dyDescent="0.35">
      <c r="J87" s="103" t="s">
        <v>53</v>
      </c>
      <c r="K87" s="103"/>
      <c r="L87" s="103"/>
      <c r="M87" s="23">
        <v>0.05</v>
      </c>
    </row>
    <row r="88" spans="2:14" ht="16" thickBot="1" x14ac:dyDescent="0.4">
      <c r="J88" s="103" t="s">
        <v>54</v>
      </c>
      <c r="K88" s="103"/>
      <c r="L88" s="103"/>
      <c r="M88" s="23" t="s">
        <v>55</v>
      </c>
    </row>
    <row r="89" spans="2:14" ht="32" customHeight="1" thickBot="1" x14ac:dyDescent="0.4">
      <c r="B89" s="36" t="s">
        <v>74</v>
      </c>
      <c r="C89" s="97" t="s">
        <v>164</v>
      </c>
      <c r="D89" s="97"/>
      <c r="E89" s="97"/>
      <c r="F89" s="97"/>
      <c r="G89" s="97"/>
      <c r="H89" s="78">
        <f xml:space="preserve"> $H$65+ (2 * $H$69)</f>
        <v>267.77200000000005</v>
      </c>
      <c r="I89" s="12" t="s">
        <v>7</v>
      </c>
    </row>
    <row r="90" spans="2:14" ht="16" thickBot="1" x14ac:dyDescent="0.4"/>
    <row r="91" spans="2:14" ht="30.5" customHeight="1" thickBot="1" x14ac:dyDescent="0.4">
      <c r="B91" s="36" t="s">
        <v>139</v>
      </c>
      <c r="C91" s="97" t="s">
        <v>163</v>
      </c>
      <c r="D91" s="97"/>
      <c r="E91" s="97"/>
      <c r="F91" s="97"/>
      <c r="G91" s="97"/>
      <c r="H91" s="62"/>
      <c r="I91" s="44" t="s">
        <v>7</v>
      </c>
    </row>
    <row r="93" spans="2:14" ht="33.5" customHeight="1" x14ac:dyDescent="0.35">
      <c r="B93" s="36" t="s">
        <v>166</v>
      </c>
      <c r="C93" s="97" t="s">
        <v>168</v>
      </c>
      <c r="D93" s="97"/>
      <c r="E93" s="97"/>
      <c r="F93" s="97"/>
      <c r="G93" s="97"/>
      <c r="H93" s="55">
        <v>267.77199999999999</v>
      </c>
      <c r="I93" s="48" t="s">
        <v>113</v>
      </c>
    </row>
    <row r="95" spans="2:14" ht="17.5" x14ac:dyDescent="0.35">
      <c r="B95" s="15" t="s">
        <v>169</v>
      </c>
      <c r="C95" s="2" t="s">
        <v>162</v>
      </c>
      <c r="H95" s="33">
        <f>(1/$H$84) * (($H$75/$H$93)^(2/3)) * SQRT($H$79)</f>
        <v>3.3506544100759146</v>
      </c>
      <c r="I95" s="1" t="s">
        <v>60</v>
      </c>
      <c r="K95" s="96" t="s">
        <v>71</v>
      </c>
      <c r="L95" s="96"/>
      <c r="M95" s="2"/>
    </row>
    <row r="96" spans="2:14" ht="15.5" customHeight="1" x14ac:dyDescent="0.35"/>
    <row r="97" spans="2:14" ht="32" customHeight="1" x14ac:dyDescent="0.35">
      <c r="B97" s="13" t="s">
        <v>171</v>
      </c>
      <c r="C97" s="97" t="s">
        <v>170</v>
      </c>
      <c r="D97" s="97"/>
      <c r="E97" s="97"/>
      <c r="F97" s="97"/>
      <c r="G97" s="97"/>
      <c r="H97" s="97"/>
      <c r="I97" s="97"/>
    </row>
    <row r="98" spans="2:14" x14ac:dyDescent="0.35">
      <c r="C98" s="2"/>
      <c r="D98" s="2"/>
      <c r="E98" s="2"/>
      <c r="F98" s="2"/>
      <c r="G98" s="2"/>
      <c r="H98" s="2"/>
      <c r="K98" s="99" t="s">
        <v>69</v>
      </c>
      <c r="L98" s="100" t="s">
        <v>67</v>
      </c>
      <c r="M98" s="100" t="s">
        <v>68</v>
      </c>
      <c r="N98" s="99" t="s">
        <v>66</v>
      </c>
    </row>
    <row r="99" spans="2:14" ht="16" thickBot="1" x14ac:dyDescent="0.4">
      <c r="B99" s="15" t="s">
        <v>172</v>
      </c>
      <c r="C99" s="2" t="s">
        <v>61</v>
      </c>
      <c r="K99" s="99"/>
      <c r="L99" s="101"/>
      <c r="M99" s="101"/>
      <c r="N99" s="99"/>
    </row>
    <row r="100" spans="2:14" ht="16" thickBot="1" x14ac:dyDescent="0.4">
      <c r="K100" s="81" t="s">
        <v>62</v>
      </c>
      <c r="L100" s="40">
        <v>4.5</v>
      </c>
      <c r="M100" s="82">
        <v>1</v>
      </c>
      <c r="N100" s="107">
        <f>((L100*M100)+(L101*M101)+(L102*M102)+(L103*M103))/(M100+M101+M102+M103)</f>
        <v>3.634927412467976</v>
      </c>
    </row>
    <row r="101" spans="2:14" ht="15.5" customHeight="1" thickBot="1" x14ac:dyDescent="0.4">
      <c r="B101" s="90" t="s">
        <v>173</v>
      </c>
      <c r="C101" s="98" t="s">
        <v>70</v>
      </c>
      <c r="D101" s="98"/>
      <c r="E101" s="98"/>
      <c r="F101" s="98"/>
      <c r="G101" s="98"/>
      <c r="H101" s="91">
        <f>2 * ($H$59-1)*$N$100</f>
        <v>50.888983774551662</v>
      </c>
      <c r="K101" s="81" t="s">
        <v>63</v>
      </c>
      <c r="L101" s="40">
        <v>3.5</v>
      </c>
      <c r="M101" s="82">
        <v>1</v>
      </c>
      <c r="N101" s="108"/>
    </row>
    <row r="102" spans="2:14" ht="15.5" customHeight="1" thickBot="1" x14ac:dyDescent="0.4">
      <c r="B102" s="90"/>
      <c r="C102" s="98"/>
      <c r="D102" s="98"/>
      <c r="E102" s="98"/>
      <c r="F102" s="98"/>
      <c r="G102" s="98"/>
      <c r="H102" s="91"/>
      <c r="K102" s="81" t="s">
        <v>64</v>
      </c>
      <c r="L102" s="40">
        <v>1.5</v>
      </c>
      <c r="M102" s="82">
        <v>0.34200000000000003</v>
      </c>
      <c r="N102" s="108"/>
    </row>
    <row r="103" spans="2:14" ht="16" thickBot="1" x14ac:dyDescent="0.4">
      <c r="C103" s="28"/>
      <c r="D103" s="28"/>
      <c r="E103" s="28"/>
      <c r="F103" s="28"/>
      <c r="G103" s="28"/>
      <c r="H103" s="11"/>
      <c r="K103" s="81" t="s">
        <v>65</v>
      </c>
      <c r="L103" s="40">
        <v>0</v>
      </c>
      <c r="M103" s="82">
        <v>0</v>
      </c>
      <c r="N103" s="109"/>
    </row>
    <row r="104" spans="2:14" x14ac:dyDescent="0.35">
      <c r="B104" s="15" t="s">
        <v>174</v>
      </c>
      <c r="C104" s="2" t="s">
        <v>175</v>
      </c>
      <c r="H104" s="19">
        <f>$H$65-$H$101</f>
        <v>212.19901622544836</v>
      </c>
    </row>
    <row r="105" spans="2:14" x14ac:dyDescent="0.35">
      <c r="C105" s="92" t="s">
        <v>220</v>
      </c>
      <c r="D105" s="92"/>
      <c r="E105" s="92"/>
      <c r="F105" s="92"/>
      <c r="G105" s="92"/>
      <c r="H105" s="92"/>
      <c r="I105" s="92"/>
      <c r="J105" s="92"/>
      <c r="K105" s="92"/>
      <c r="L105" s="92"/>
      <c r="M105" s="92"/>
    </row>
    <row r="106" spans="2:14" x14ac:dyDescent="0.35">
      <c r="C106" s="92"/>
      <c r="D106" s="92"/>
      <c r="E106" s="92"/>
      <c r="F106" s="92"/>
      <c r="G106" s="92"/>
      <c r="H106" s="92"/>
      <c r="I106" s="92"/>
      <c r="J106" s="92"/>
      <c r="K106" s="92"/>
      <c r="L106" s="92"/>
      <c r="M106" s="92"/>
    </row>
  </sheetData>
  <sheetProtection algorithmName="SHA-512" hashValue="wuV64curHJNkiQOlizKffQDXNRpYt+ezCfMkZXSoHh7ib7SaeiTebaM1gvKLBtKsrorNHm7ZCj8LOUVQWFi47g==" saltValue="J98ox8Mc6EXmt/0WwfulBQ==" spinCount="100000" sheet="1" insertColumns="0" insertRows="0" insertHyperlinks="0"/>
  <mergeCells count="57">
    <mergeCell ref="J49:L49"/>
    <mergeCell ref="J50:L50"/>
    <mergeCell ref="C47:G47"/>
    <mergeCell ref="C36:G36"/>
    <mergeCell ref="C41:G41"/>
    <mergeCell ref="C51:G51"/>
    <mergeCell ref="C35:G35"/>
    <mergeCell ref="C39:G39"/>
    <mergeCell ref="C45:G45"/>
    <mergeCell ref="N98:N99"/>
    <mergeCell ref="N100:N103"/>
    <mergeCell ref="C69:G69"/>
    <mergeCell ref="J87:L87"/>
    <mergeCell ref="J88:L88"/>
    <mergeCell ref="J79:L79"/>
    <mergeCell ref="J80:L80"/>
    <mergeCell ref="J81:L81"/>
    <mergeCell ref="J82:L82"/>
    <mergeCell ref="C77:G77"/>
    <mergeCell ref="C89:G89"/>
    <mergeCell ref="C91:G91"/>
    <mergeCell ref="C93:G93"/>
    <mergeCell ref="C71:G71"/>
    <mergeCell ref="C73:G73"/>
    <mergeCell ref="C75:G75"/>
    <mergeCell ref="B2:M2"/>
    <mergeCell ref="K95:L95"/>
    <mergeCell ref="C97:I97"/>
    <mergeCell ref="C101:G102"/>
    <mergeCell ref="K98:K99"/>
    <mergeCell ref="L98:L99"/>
    <mergeCell ref="M98:M99"/>
    <mergeCell ref="J84:L84"/>
    <mergeCell ref="J85:L85"/>
    <mergeCell ref="J86:L86"/>
    <mergeCell ref="J52:L52"/>
    <mergeCell ref="J54:L54"/>
    <mergeCell ref="C55:G55"/>
    <mergeCell ref="B84:B86"/>
    <mergeCell ref="C84:G86"/>
    <mergeCell ref="H84:H86"/>
    <mergeCell ref="J4:M4"/>
    <mergeCell ref="C59:G59"/>
    <mergeCell ref="B101:B102"/>
    <mergeCell ref="H101:H102"/>
    <mergeCell ref="C105:M106"/>
    <mergeCell ref="J57:L57"/>
    <mergeCell ref="F57:I57"/>
    <mergeCell ref="C65:G65"/>
    <mergeCell ref="C67:G67"/>
    <mergeCell ref="H13:I13"/>
    <mergeCell ref="C33:G33"/>
    <mergeCell ref="C34:G34"/>
    <mergeCell ref="J55:L55"/>
    <mergeCell ref="J56:L56"/>
    <mergeCell ref="J51:L51"/>
    <mergeCell ref="C49:G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3BCB-E597-4839-8C52-5BCEDCA1F24A}">
  <dimension ref="B2:M49"/>
  <sheetViews>
    <sheetView workbookViewId="0">
      <selection activeCell="C38" sqref="C38:H38"/>
    </sheetView>
  </sheetViews>
  <sheetFormatPr defaultRowHeight="15.5" x14ac:dyDescent="0.35"/>
  <cols>
    <col min="1" max="2" width="5.08984375" style="1" customWidth="1"/>
    <col min="3" max="6" width="8.7265625" style="1"/>
    <col min="7" max="7" width="10.36328125" style="1" customWidth="1"/>
    <col min="8" max="8" width="10.26953125" style="1" customWidth="1"/>
    <col min="9" max="9" width="8.81640625" style="1" customWidth="1"/>
    <col min="10" max="10" width="9.54296875" style="1" customWidth="1"/>
    <col min="11" max="11" width="11.90625" style="1" customWidth="1"/>
    <col min="12" max="16384" width="8.7265625" style="1"/>
  </cols>
  <sheetData>
    <row r="2" spans="2:12" ht="20.5" x14ac:dyDescent="0.55000000000000004">
      <c r="B2" s="3" t="s">
        <v>178</v>
      </c>
    </row>
    <row r="3" spans="2:12" ht="16" thickBot="1" x14ac:dyDescent="0.4"/>
    <row r="4" spans="2:12" ht="18" thickBot="1" x14ac:dyDescent="0.4">
      <c r="B4" s="15" t="s">
        <v>44</v>
      </c>
      <c r="C4" s="2" t="s">
        <v>87</v>
      </c>
      <c r="H4" s="40">
        <v>550</v>
      </c>
    </row>
    <row r="5" spans="2:12" ht="16" thickBot="1" x14ac:dyDescent="0.4"/>
    <row r="6" spans="2:12" ht="16" thickBot="1" x14ac:dyDescent="0.4">
      <c r="B6" s="15" t="s">
        <v>30</v>
      </c>
      <c r="C6" s="2" t="s">
        <v>76</v>
      </c>
      <c r="H6" s="66">
        <v>29.89</v>
      </c>
      <c r="J6" s="96" t="s">
        <v>77</v>
      </c>
      <c r="K6" s="96"/>
      <c r="L6" s="4" t="s">
        <v>78</v>
      </c>
    </row>
    <row r="7" spans="2:12" ht="17.5" x14ac:dyDescent="0.35">
      <c r="J7" s="128" t="s">
        <v>179</v>
      </c>
      <c r="K7" s="128"/>
      <c r="L7" s="52">
        <v>0.3</v>
      </c>
    </row>
    <row r="8" spans="2:12" ht="17.5" x14ac:dyDescent="0.45">
      <c r="B8" s="15" t="s">
        <v>58</v>
      </c>
      <c r="C8" s="2" t="s">
        <v>88</v>
      </c>
      <c r="H8" s="10">
        <f>Waterway!$H$15 * (1+(($H$6)/100))</f>
        <v>2727.69</v>
      </c>
      <c r="J8" s="129" t="s">
        <v>180</v>
      </c>
      <c r="K8" s="129"/>
      <c r="L8" s="53" t="s">
        <v>79</v>
      </c>
    </row>
    <row r="9" spans="2:12" ht="17.5" x14ac:dyDescent="0.35">
      <c r="J9" s="129" t="s">
        <v>181</v>
      </c>
      <c r="K9" s="129"/>
      <c r="L9" s="53" t="s">
        <v>80</v>
      </c>
    </row>
    <row r="10" spans="2:12" ht="17.5" x14ac:dyDescent="0.35">
      <c r="J10" s="129" t="s">
        <v>182</v>
      </c>
      <c r="K10" s="129"/>
      <c r="L10" s="53" t="s">
        <v>81</v>
      </c>
    </row>
    <row r="11" spans="2:12" ht="18.5" x14ac:dyDescent="0.45">
      <c r="B11" s="3" t="s">
        <v>82</v>
      </c>
    </row>
    <row r="12" spans="2:12" x14ac:dyDescent="0.35">
      <c r="B12" s="2" t="s">
        <v>183</v>
      </c>
    </row>
    <row r="13" spans="2:12" x14ac:dyDescent="0.35">
      <c r="B13" s="2"/>
    </row>
    <row r="14" spans="2:12" ht="16" thickBot="1" x14ac:dyDescent="0.4">
      <c r="B14" s="15" t="s">
        <v>44</v>
      </c>
      <c r="C14" s="2" t="s">
        <v>184</v>
      </c>
    </row>
    <row r="15" spans="2:12" ht="30" customHeight="1" thickBot="1" x14ac:dyDescent="0.4">
      <c r="C15" s="13" t="s">
        <v>83</v>
      </c>
      <c r="D15" s="92" t="s">
        <v>185</v>
      </c>
      <c r="E15" s="92"/>
      <c r="F15" s="92"/>
      <c r="G15" s="92"/>
      <c r="H15" s="67">
        <v>1.5</v>
      </c>
      <c r="I15" s="11" t="s">
        <v>84</v>
      </c>
    </row>
    <row r="16" spans="2:12" x14ac:dyDescent="0.35">
      <c r="C16" s="15" t="s">
        <v>85</v>
      </c>
      <c r="D16" s="2" t="s">
        <v>86</v>
      </c>
      <c r="H16" s="33">
        <f>1.76*SQRT($H$15)</f>
        <v>2.1555509736491967</v>
      </c>
      <c r="K16" s="96" t="s">
        <v>89</v>
      </c>
      <c r="L16" s="96"/>
    </row>
    <row r="17" spans="2:13" ht="18" customHeight="1" x14ac:dyDescent="0.35">
      <c r="C17" s="15" t="s">
        <v>26</v>
      </c>
      <c r="D17" s="2" t="s">
        <v>186</v>
      </c>
    </row>
    <row r="18" spans="2:13" ht="18.5" x14ac:dyDescent="0.45">
      <c r="D18" s="2" t="s">
        <v>91</v>
      </c>
      <c r="H18" s="33">
        <f>0.473 * (($H$8/$H$16)^(1/3))</f>
        <v>5.1161120252861112</v>
      </c>
      <c r="I18" s="2"/>
      <c r="K18" s="96" t="s">
        <v>90</v>
      </c>
      <c r="L18" s="96"/>
      <c r="M18" s="96"/>
    </row>
    <row r="19" spans="2:13" x14ac:dyDescent="0.35">
      <c r="C19" s="15" t="s">
        <v>92</v>
      </c>
      <c r="D19" s="2" t="s">
        <v>187</v>
      </c>
    </row>
    <row r="20" spans="2:13" ht="17.5" x14ac:dyDescent="0.45">
      <c r="D20" s="15" t="s">
        <v>93</v>
      </c>
      <c r="E20" s="2" t="s">
        <v>188</v>
      </c>
      <c r="I20" s="19">
        <f>$H$8/(Waterway!$H$61)</f>
        <v>10.367975734355044</v>
      </c>
    </row>
    <row r="21" spans="2:13" ht="18.5" x14ac:dyDescent="0.45">
      <c r="D21" s="15" t="s">
        <v>94</v>
      </c>
      <c r="E21" s="2" t="s">
        <v>91</v>
      </c>
      <c r="I21" s="33">
        <f>1.338 * ((($I$20^2)/$H$16)^(1/3))</f>
        <v>4.9249216873493857</v>
      </c>
      <c r="K21" s="96" t="s">
        <v>95</v>
      </c>
      <c r="L21" s="96"/>
      <c r="M21" s="96"/>
    </row>
    <row r="22" spans="2:13" x14ac:dyDescent="0.35">
      <c r="C22" s="15" t="s">
        <v>96</v>
      </c>
      <c r="D22" s="2" t="s">
        <v>97</v>
      </c>
      <c r="I22" s="57">
        <v>4.92</v>
      </c>
      <c r="J22" s="2" t="s">
        <v>7</v>
      </c>
    </row>
    <row r="23" spans="2:13" x14ac:dyDescent="0.35">
      <c r="C23" s="15" t="s">
        <v>98</v>
      </c>
      <c r="D23" s="2" t="s">
        <v>99</v>
      </c>
      <c r="J23" s="2"/>
    </row>
    <row r="24" spans="2:13" x14ac:dyDescent="0.35">
      <c r="D24" s="19" t="s">
        <v>93</v>
      </c>
      <c r="E24" s="2" t="s">
        <v>101</v>
      </c>
      <c r="I24" s="33">
        <f>$I$22 * 1.25</f>
        <v>6.15</v>
      </c>
      <c r="J24" s="2" t="s">
        <v>7</v>
      </c>
      <c r="K24" s="96" t="s">
        <v>102</v>
      </c>
      <c r="L24" s="96"/>
      <c r="M24" s="96"/>
    </row>
    <row r="25" spans="2:13" x14ac:dyDescent="0.35">
      <c r="D25" s="19" t="s">
        <v>94</v>
      </c>
      <c r="E25" s="2" t="s">
        <v>100</v>
      </c>
      <c r="I25" s="33">
        <f>$I$22 * 2</f>
        <v>9.84</v>
      </c>
      <c r="J25" s="2" t="s">
        <v>7</v>
      </c>
      <c r="K25" s="96" t="s">
        <v>103</v>
      </c>
      <c r="L25" s="96"/>
      <c r="M25" s="96"/>
    </row>
    <row r="26" spans="2:13" x14ac:dyDescent="0.35">
      <c r="J26" s="2"/>
    </row>
    <row r="27" spans="2:13" ht="16" thickBot="1" x14ac:dyDescent="0.4">
      <c r="B27" s="15" t="s">
        <v>30</v>
      </c>
      <c r="C27" s="2" t="s">
        <v>104</v>
      </c>
      <c r="J27" s="2"/>
    </row>
    <row r="28" spans="2:13" ht="16" thickBot="1" x14ac:dyDescent="0.4">
      <c r="C28" s="19" t="s">
        <v>83</v>
      </c>
      <c r="D28" s="2" t="s">
        <v>105</v>
      </c>
      <c r="I28" s="83"/>
      <c r="J28" s="2" t="s">
        <v>7</v>
      </c>
    </row>
    <row r="29" spans="2:13" ht="16" thickBot="1" x14ac:dyDescent="0.4">
      <c r="C29" s="19" t="s">
        <v>85</v>
      </c>
      <c r="D29" s="2" t="s">
        <v>106</v>
      </c>
      <c r="I29" s="83"/>
      <c r="J29" s="2" t="s">
        <v>7</v>
      </c>
    </row>
    <row r="30" spans="2:13" ht="16" thickBot="1" x14ac:dyDescent="0.4">
      <c r="C30" s="19" t="s">
        <v>26</v>
      </c>
      <c r="D30" s="2" t="s">
        <v>99</v>
      </c>
      <c r="I30" s="83"/>
      <c r="J30" s="2" t="s">
        <v>7</v>
      </c>
    </row>
    <row r="31" spans="2:13" x14ac:dyDescent="0.35">
      <c r="J31" s="2"/>
    </row>
    <row r="32" spans="2:13" ht="16" thickBot="1" x14ac:dyDescent="0.4">
      <c r="B32" s="19" t="s">
        <v>58</v>
      </c>
      <c r="C32" s="2" t="s">
        <v>107</v>
      </c>
      <c r="J32" s="2"/>
    </row>
    <row r="33" spans="2:10" ht="16" thickBot="1" x14ac:dyDescent="0.4">
      <c r="C33" s="19" t="s">
        <v>83</v>
      </c>
      <c r="D33" s="2" t="s">
        <v>108</v>
      </c>
      <c r="I33" s="84"/>
      <c r="J33" s="2" t="s">
        <v>7</v>
      </c>
    </row>
    <row r="34" spans="2:10" ht="16" thickBot="1" x14ac:dyDescent="0.4">
      <c r="C34" s="19" t="s">
        <v>85</v>
      </c>
      <c r="D34" s="2" t="s">
        <v>106</v>
      </c>
      <c r="I34" s="84"/>
      <c r="J34" s="2" t="s">
        <v>7</v>
      </c>
    </row>
    <row r="35" spans="2:10" ht="16" thickBot="1" x14ac:dyDescent="0.4">
      <c r="C35" s="19" t="s">
        <v>26</v>
      </c>
      <c r="D35" s="2" t="s">
        <v>99</v>
      </c>
      <c r="I35" s="84"/>
      <c r="J35" s="2" t="s">
        <v>7</v>
      </c>
    </row>
    <row r="36" spans="2:10" ht="16" thickBot="1" x14ac:dyDescent="0.4"/>
    <row r="37" spans="2:10" ht="30" customHeight="1" thickBot="1" x14ac:dyDescent="0.4">
      <c r="B37" s="19" t="s">
        <v>34</v>
      </c>
      <c r="C37" s="112" t="s">
        <v>221</v>
      </c>
      <c r="D37" s="112"/>
      <c r="E37" s="112"/>
      <c r="F37" s="112"/>
      <c r="G37" s="112"/>
      <c r="H37" s="127"/>
      <c r="I37" s="79">
        <v>7.46</v>
      </c>
      <c r="J37" s="11" t="s">
        <v>7</v>
      </c>
    </row>
    <row r="38" spans="2:10" ht="30.5" customHeight="1" thickBot="1" x14ac:dyDescent="0.4">
      <c r="C38" s="112" t="s">
        <v>222</v>
      </c>
      <c r="D38" s="112"/>
      <c r="E38" s="112"/>
      <c r="F38" s="112"/>
      <c r="G38" s="112"/>
      <c r="H38" s="127"/>
      <c r="I38" s="79">
        <v>11.94</v>
      </c>
      <c r="J38" s="11" t="s">
        <v>7</v>
      </c>
    </row>
    <row r="40" spans="2:10" s="32" customFormat="1" ht="18.5" x14ac:dyDescent="0.45">
      <c r="B40" s="35" t="s">
        <v>189</v>
      </c>
      <c r="C40" s="34"/>
    </row>
    <row r="42" spans="2:10" x14ac:dyDescent="0.35">
      <c r="B42" s="90" t="s">
        <v>44</v>
      </c>
      <c r="C42" s="92" t="s">
        <v>110</v>
      </c>
      <c r="D42" s="92"/>
      <c r="E42" s="92"/>
      <c r="F42" s="92"/>
      <c r="G42" s="92"/>
      <c r="H42" s="92"/>
      <c r="I42" s="92"/>
      <c r="J42" s="92"/>
    </row>
    <row r="43" spans="2:10" x14ac:dyDescent="0.35">
      <c r="B43" s="90"/>
      <c r="C43" s="92"/>
      <c r="D43" s="92"/>
      <c r="E43" s="92"/>
      <c r="F43" s="92"/>
      <c r="G43" s="92"/>
      <c r="H43" s="92"/>
      <c r="I43" s="92"/>
      <c r="J43" s="92"/>
    </row>
    <row r="45" spans="2:10" ht="15.5" customHeight="1" x14ac:dyDescent="0.35">
      <c r="B45" s="90" t="s">
        <v>30</v>
      </c>
      <c r="C45" s="97" t="s">
        <v>190</v>
      </c>
      <c r="D45" s="97"/>
      <c r="E45" s="97"/>
      <c r="F45" s="97"/>
      <c r="G45" s="97"/>
      <c r="H45" s="97"/>
      <c r="I45" s="97"/>
      <c r="J45" s="97"/>
    </row>
    <row r="46" spans="2:10" x14ac:dyDescent="0.35">
      <c r="B46" s="90"/>
      <c r="C46" s="97"/>
      <c r="D46" s="97"/>
      <c r="E46" s="97"/>
      <c r="F46" s="97"/>
      <c r="G46" s="97"/>
      <c r="H46" s="97"/>
      <c r="I46" s="97"/>
      <c r="J46" s="97"/>
    </row>
    <row r="48" spans="2:10" ht="15.5" customHeight="1" x14ac:dyDescent="0.35">
      <c r="B48" s="90" t="s">
        <v>58</v>
      </c>
      <c r="C48" s="97" t="s">
        <v>191</v>
      </c>
      <c r="D48" s="97"/>
      <c r="E48" s="97"/>
      <c r="F48" s="97"/>
      <c r="G48" s="97"/>
      <c r="H48" s="97"/>
      <c r="I48" s="97"/>
      <c r="J48" s="97"/>
    </row>
    <row r="49" spans="2:10" x14ac:dyDescent="0.35">
      <c r="B49" s="90"/>
      <c r="C49" s="97"/>
      <c r="D49" s="97"/>
      <c r="E49" s="97"/>
      <c r="F49" s="97"/>
      <c r="G49" s="97"/>
      <c r="H49" s="97"/>
      <c r="I49" s="97"/>
      <c r="J49" s="97"/>
    </row>
  </sheetData>
  <sheetProtection algorithmName="SHA-512" hashValue="h0zFR5VbBC8RjJFmcKrb5b3o63HABZxSEl61x7A55JDNFFthxsGWyyKl7O5XMwuDeRLMm0QdmEsUTj0Mib1tXQ==" saltValue="a1tC4Ci1R6jQ31P3PmUUJQ==" spinCount="100000" sheet="1" insertHyperlinks="0"/>
  <mergeCells count="19">
    <mergeCell ref="J6:K6"/>
    <mergeCell ref="J7:K7"/>
    <mergeCell ref="J8:K8"/>
    <mergeCell ref="J9:K9"/>
    <mergeCell ref="J10:K10"/>
    <mergeCell ref="B48:B49"/>
    <mergeCell ref="C48:J49"/>
    <mergeCell ref="C42:J43"/>
    <mergeCell ref="D15:G15"/>
    <mergeCell ref="K18:M18"/>
    <mergeCell ref="K21:M21"/>
    <mergeCell ref="K24:M24"/>
    <mergeCell ref="K25:M25"/>
    <mergeCell ref="K16:L16"/>
    <mergeCell ref="C37:H37"/>
    <mergeCell ref="C38:H38"/>
    <mergeCell ref="B42:B43"/>
    <mergeCell ref="B45:B46"/>
    <mergeCell ref="C45:J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5F37-0F97-452E-A51D-3BC340A86D5F}">
  <dimension ref="B2:Q58"/>
  <sheetViews>
    <sheetView topLeftCell="A41" workbookViewId="0">
      <selection activeCell="O37" sqref="O37"/>
    </sheetView>
  </sheetViews>
  <sheetFormatPr defaultRowHeight="15.5" x14ac:dyDescent="0.35"/>
  <cols>
    <col min="1" max="1" width="5" style="1" customWidth="1"/>
    <col min="2" max="8" width="8.7265625" style="1"/>
    <col min="9" max="9" width="10.36328125" style="1" customWidth="1"/>
    <col min="10" max="16384" width="8.7265625" style="1"/>
  </cols>
  <sheetData>
    <row r="2" spans="2:17" ht="18.5" x14ac:dyDescent="0.45">
      <c r="B2" s="3" t="s">
        <v>192</v>
      </c>
    </row>
    <row r="4" spans="2:17" x14ac:dyDescent="0.35">
      <c r="B4" s="15" t="s">
        <v>44</v>
      </c>
      <c r="C4" s="2" t="s">
        <v>111</v>
      </c>
      <c r="I4" s="26">
        <f>(Waterway!$H$77)</f>
        <v>3.413790412776029</v>
      </c>
      <c r="J4" s="2" t="s">
        <v>60</v>
      </c>
    </row>
    <row r="5" spans="2:17" ht="17.5" x14ac:dyDescent="0.35">
      <c r="B5" s="15" t="s">
        <v>30</v>
      </c>
      <c r="C5" s="2" t="s">
        <v>112</v>
      </c>
      <c r="I5" s="33">
        <f>Waterway!$H$61 *Waterway!$H$69</f>
        <v>616.15209600000003</v>
      </c>
      <c r="J5" s="2" t="s">
        <v>113</v>
      </c>
    </row>
    <row r="6" spans="2:17" ht="17.5" x14ac:dyDescent="0.35">
      <c r="B6" s="15" t="s">
        <v>58</v>
      </c>
      <c r="C6" s="2" t="s">
        <v>114</v>
      </c>
      <c r="I6" s="33">
        <f>Waterway!$H$104 *Waterway!H69</f>
        <v>496.97009600000007</v>
      </c>
      <c r="J6" s="2" t="s">
        <v>113</v>
      </c>
    </row>
    <row r="7" spans="2:17" ht="17.5" x14ac:dyDescent="0.35">
      <c r="B7" s="15" t="s">
        <v>34</v>
      </c>
      <c r="C7" s="2" t="s">
        <v>116</v>
      </c>
      <c r="I7" s="26">
        <f>((($I$4^2)/17.88) + 0.01524) * ((($I$5/$I$6)^2)-1)</f>
        <v>0.35829182489087236</v>
      </c>
      <c r="J7" s="2" t="s">
        <v>7</v>
      </c>
      <c r="L7" s="96" t="s">
        <v>115</v>
      </c>
      <c r="M7" s="96"/>
      <c r="N7" s="96"/>
      <c r="O7" s="96"/>
      <c r="P7" s="96"/>
    </row>
    <row r="8" spans="2:17" ht="16" thickBot="1" x14ac:dyDescent="0.4">
      <c r="B8" s="56"/>
    </row>
    <row r="9" spans="2:17" ht="16" thickBot="1" x14ac:dyDescent="0.4">
      <c r="B9" s="15" t="s">
        <v>37</v>
      </c>
      <c r="C9" s="2" t="s">
        <v>193</v>
      </c>
      <c r="I9" s="82">
        <v>0.31</v>
      </c>
      <c r="J9" s="2" t="s">
        <v>7</v>
      </c>
    </row>
    <row r="10" spans="2:17" ht="16" thickBot="1" x14ac:dyDescent="0.4">
      <c r="B10" s="56"/>
    </row>
    <row r="11" spans="2:17" ht="16" thickBot="1" x14ac:dyDescent="0.4">
      <c r="B11" s="15" t="s">
        <v>40</v>
      </c>
      <c r="C11" s="2" t="s">
        <v>194</v>
      </c>
      <c r="I11" s="82">
        <v>0.31</v>
      </c>
      <c r="J11" s="2" t="s">
        <v>7</v>
      </c>
    </row>
    <row r="13" spans="2:17" ht="18.5" x14ac:dyDescent="0.45">
      <c r="B13" s="3" t="s">
        <v>117</v>
      </c>
    </row>
    <row r="14" spans="2:17" ht="16" thickBot="1" x14ac:dyDescent="0.4"/>
    <row r="15" spans="2:17" ht="16" thickBot="1" x14ac:dyDescent="0.4">
      <c r="B15" s="15" t="s">
        <v>44</v>
      </c>
      <c r="C15" s="2" t="s">
        <v>118</v>
      </c>
      <c r="I15" s="82">
        <v>1.5</v>
      </c>
      <c r="J15" s="2" t="s">
        <v>7</v>
      </c>
      <c r="L15" s="96" t="s">
        <v>119</v>
      </c>
      <c r="M15" s="96"/>
      <c r="N15" s="96"/>
      <c r="O15" s="96" t="s">
        <v>195</v>
      </c>
      <c r="P15" s="96"/>
      <c r="Q15" s="96"/>
    </row>
    <row r="16" spans="2:17" x14ac:dyDescent="0.35">
      <c r="L16" s="131" t="s">
        <v>120</v>
      </c>
      <c r="M16" s="132"/>
      <c r="N16" s="133"/>
      <c r="O16" s="131">
        <v>600</v>
      </c>
      <c r="P16" s="132"/>
      <c r="Q16" s="133"/>
    </row>
    <row r="17" spans="2:17" x14ac:dyDescent="0.35">
      <c r="B17" s="15" t="s">
        <v>30</v>
      </c>
      <c r="C17" s="89" t="s">
        <v>125</v>
      </c>
      <c r="D17" s="89"/>
      <c r="E17" s="89"/>
      <c r="F17" s="89"/>
      <c r="G17" s="89"/>
      <c r="H17" s="89"/>
      <c r="I17" s="19">
        <v>0</v>
      </c>
      <c r="J17" s="1" t="s">
        <v>7</v>
      </c>
      <c r="L17" s="131" t="s">
        <v>121</v>
      </c>
      <c r="M17" s="132"/>
      <c r="N17" s="133"/>
      <c r="O17" s="131" t="s">
        <v>124</v>
      </c>
      <c r="P17" s="132"/>
      <c r="Q17" s="133"/>
    </row>
    <row r="18" spans="2:17" x14ac:dyDescent="0.35">
      <c r="L18" s="131" t="s">
        <v>122</v>
      </c>
      <c r="M18" s="132"/>
      <c r="N18" s="133"/>
      <c r="O18" s="131">
        <v>1500</v>
      </c>
      <c r="P18" s="132"/>
      <c r="Q18" s="133"/>
    </row>
    <row r="19" spans="2:17" x14ac:dyDescent="0.35">
      <c r="L19" s="131" t="s">
        <v>123</v>
      </c>
      <c r="M19" s="132"/>
      <c r="N19" s="133"/>
      <c r="O19" s="131">
        <v>1800</v>
      </c>
      <c r="P19" s="132"/>
      <c r="Q19" s="133"/>
    </row>
    <row r="20" spans="2:17" ht="16" thickBot="1" x14ac:dyDescent="0.4"/>
    <row r="21" spans="2:17" ht="16" thickBot="1" x14ac:dyDescent="0.4">
      <c r="B21" s="15" t="s">
        <v>58</v>
      </c>
      <c r="C21" s="2" t="s">
        <v>126</v>
      </c>
      <c r="I21" s="82"/>
      <c r="J21" s="2" t="s">
        <v>7</v>
      </c>
      <c r="L21" s="96" t="s">
        <v>119</v>
      </c>
      <c r="M21" s="96"/>
      <c r="N21" s="96"/>
      <c r="O21" s="96" t="s">
        <v>127</v>
      </c>
      <c r="P21" s="96"/>
      <c r="Q21" s="96"/>
    </row>
    <row r="22" spans="2:17" x14ac:dyDescent="0.35">
      <c r="C22" s="89" t="s">
        <v>223</v>
      </c>
      <c r="D22" s="89"/>
      <c r="E22" s="89"/>
      <c r="F22" s="89"/>
      <c r="G22" s="89"/>
      <c r="H22" s="89"/>
      <c r="L22" s="131" t="s">
        <v>128</v>
      </c>
      <c r="M22" s="132"/>
      <c r="N22" s="133"/>
      <c r="O22" s="131">
        <v>300</v>
      </c>
      <c r="P22" s="132"/>
      <c r="Q22" s="133"/>
    </row>
    <row r="23" spans="2:17" x14ac:dyDescent="0.35">
      <c r="L23" s="131" t="s">
        <v>129</v>
      </c>
      <c r="M23" s="132"/>
      <c r="N23" s="133"/>
      <c r="O23" s="131" t="s">
        <v>196</v>
      </c>
      <c r="P23" s="132"/>
      <c r="Q23" s="133"/>
    </row>
    <row r="24" spans="2:17" ht="16" thickBot="1" x14ac:dyDescent="0.4">
      <c r="L24" s="131" t="s">
        <v>197</v>
      </c>
      <c r="M24" s="132"/>
      <c r="N24" s="133"/>
      <c r="O24" s="131" t="s">
        <v>198</v>
      </c>
      <c r="P24" s="132"/>
      <c r="Q24" s="133"/>
    </row>
    <row r="25" spans="2:17" ht="16" thickBot="1" x14ac:dyDescent="0.4">
      <c r="B25" s="15" t="s">
        <v>34</v>
      </c>
      <c r="C25" s="2" t="s">
        <v>199</v>
      </c>
      <c r="I25" s="82"/>
      <c r="J25" s="2" t="s">
        <v>7</v>
      </c>
    </row>
    <row r="26" spans="2:17" ht="16" thickBot="1" x14ac:dyDescent="0.4"/>
    <row r="27" spans="2:17" ht="16" thickBot="1" x14ac:dyDescent="0.4">
      <c r="B27" s="15" t="s">
        <v>109</v>
      </c>
      <c r="C27" s="2" t="s">
        <v>137</v>
      </c>
      <c r="I27" s="82">
        <v>1.5</v>
      </c>
      <c r="J27" s="2" t="s">
        <v>7</v>
      </c>
    </row>
    <row r="28" spans="2:17" ht="16" thickBot="1" x14ac:dyDescent="0.4"/>
    <row r="29" spans="2:17" ht="16" thickBot="1" x14ac:dyDescent="0.4">
      <c r="B29" s="15" t="s">
        <v>138</v>
      </c>
      <c r="C29" s="2" t="s">
        <v>224</v>
      </c>
      <c r="I29" s="66">
        <v>604.52499999999998</v>
      </c>
      <c r="J29" s="2" t="s">
        <v>7</v>
      </c>
    </row>
    <row r="30" spans="2:17" ht="16" thickBot="1" x14ac:dyDescent="0.4"/>
    <row r="31" spans="2:17" ht="16" thickBot="1" x14ac:dyDescent="0.4">
      <c r="B31" s="15" t="s">
        <v>43</v>
      </c>
      <c r="C31" s="2" t="s">
        <v>131</v>
      </c>
      <c r="I31" s="85">
        <f>$I$29 + Waterway!$H$69 + $I$11</f>
        <v>607.17699999999991</v>
      </c>
      <c r="J31" s="2" t="s">
        <v>7</v>
      </c>
    </row>
    <row r="33" spans="2:10" x14ac:dyDescent="0.35">
      <c r="B33" s="15" t="s">
        <v>72</v>
      </c>
      <c r="C33" s="2" t="s">
        <v>132</v>
      </c>
      <c r="I33" s="57">
        <v>609</v>
      </c>
      <c r="J33" s="2" t="s">
        <v>7</v>
      </c>
    </row>
    <row r="35" spans="2:10" x14ac:dyDescent="0.35">
      <c r="B35" s="15" t="s">
        <v>134</v>
      </c>
      <c r="C35" s="2" t="s">
        <v>133</v>
      </c>
      <c r="I35" s="33">
        <f>MAX($I$31,$I$33)</f>
        <v>609</v>
      </c>
      <c r="J35" s="2" t="s">
        <v>7</v>
      </c>
    </row>
    <row r="37" spans="2:10" x14ac:dyDescent="0.35">
      <c r="B37" s="15" t="s">
        <v>74</v>
      </c>
      <c r="C37" s="2" t="s">
        <v>130</v>
      </c>
      <c r="I37" s="33">
        <f>$I$35 + $I$27</f>
        <v>610.5</v>
      </c>
      <c r="J37" s="2" t="s">
        <v>7</v>
      </c>
    </row>
    <row r="38" spans="2:10" x14ac:dyDescent="0.35">
      <c r="C38" s="92" t="s">
        <v>200</v>
      </c>
      <c r="D38" s="92"/>
      <c r="E38" s="92"/>
      <c r="F38" s="92"/>
      <c r="G38" s="92"/>
      <c r="H38" s="92"/>
    </row>
    <row r="39" spans="2:10" x14ac:dyDescent="0.35">
      <c r="C39" s="92"/>
      <c r="D39" s="92"/>
      <c r="E39" s="92"/>
      <c r="F39" s="92"/>
      <c r="G39" s="92"/>
      <c r="H39" s="92"/>
    </row>
    <row r="40" spans="2:10" x14ac:dyDescent="0.35">
      <c r="C40" s="92"/>
      <c r="D40" s="92"/>
      <c r="E40" s="92"/>
      <c r="F40" s="92"/>
      <c r="G40" s="92"/>
      <c r="H40" s="92"/>
    </row>
    <row r="41" spans="2:10" x14ac:dyDescent="0.35">
      <c r="C41" s="27"/>
      <c r="D41" s="27"/>
      <c r="E41" s="27"/>
      <c r="F41" s="27"/>
      <c r="G41" s="27"/>
      <c r="H41" s="27"/>
    </row>
    <row r="42" spans="2:10" x14ac:dyDescent="0.35">
      <c r="B42" s="15" t="s">
        <v>139</v>
      </c>
      <c r="C42" s="130" t="s">
        <v>201</v>
      </c>
      <c r="D42" s="130"/>
      <c r="E42" s="130"/>
      <c r="F42" s="130"/>
      <c r="G42" s="130"/>
      <c r="H42" s="130"/>
      <c r="I42" s="57">
        <v>612</v>
      </c>
      <c r="J42" s="2" t="s">
        <v>7</v>
      </c>
    </row>
    <row r="44" spans="2:10" ht="18.5" x14ac:dyDescent="0.45">
      <c r="B44" s="3" t="s">
        <v>135</v>
      </c>
    </row>
    <row r="45" spans="2:10" ht="16" thickBot="1" x14ac:dyDescent="0.4"/>
    <row r="46" spans="2:10" ht="16" thickBot="1" x14ac:dyDescent="0.4">
      <c r="B46" s="19" t="s">
        <v>44</v>
      </c>
      <c r="C46" s="2" t="s">
        <v>136</v>
      </c>
      <c r="I46" s="82">
        <v>2.5</v>
      </c>
      <c r="J46" s="2" t="s">
        <v>7</v>
      </c>
    </row>
    <row r="48" spans="2:10" x14ac:dyDescent="0.35">
      <c r="B48" s="19" t="s">
        <v>30</v>
      </c>
      <c r="C48" s="2" t="s">
        <v>202</v>
      </c>
      <c r="I48" s="33">
        <f>$I$42 + $I$46</f>
        <v>614.5</v>
      </c>
      <c r="J48" s="2" t="s">
        <v>7</v>
      </c>
    </row>
    <row r="50" spans="2:10" x14ac:dyDescent="0.35">
      <c r="B50" s="19" t="s">
        <v>58</v>
      </c>
      <c r="C50" s="2" t="s">
        <v>140</v>
      </c>
      <c r="I50" s="57">
        <v>1</v>
      </c>
      <c r="J50" s="2" t="s">
        <v>7</v>
      </c>
    </row>
    <row r="52" spans="2:10" ht="32" customHeight="1" x14ac:dyDescent="0.35">
      <c r="B52" s="29" t="s">
        <v>34</v>
      </c>
      <c r="C52" s="97" t="s">
        <v>142</v>
      </c>
      <c r="D52" s="97"/>
      <c r="E52" s="97"/>
      <c r="F52" s="97"/>
      <c r="G52" s="97"/>
      <c r="H52" s="97"/>
      <c r="I52" s="51">
        <f>$I$35 + $I$50</f>
        <v>610</v>
      </c>
      <c r="J52" s="20" t="s">
        <v>7</v>
      </c>
    </row>
    <row r="54" spans="2:10" ht="31" customHeight="1" x14ac:dyDescent="0.35">
      <c r="B54" s="29" t="s">
        <v>37</v>
      </c>
      <c r="C54" s="97" t="s">
        <v>141</v>
      </c>
      <c r="D54" s="97"/>
      <c r="E54" s="97"/>
      <c r="F54" s="97"/>
      <c r="G54" s="97"/>
      <c r="H54" s="97"/>
      <c r="I54" s="51">
        <f>MAX($I$48, $I$52)</f>
        <v>614.5</v>
      </c>
      <c r="J54" s="12" t="s">
        <v>7</v>
      </c>
    </row>
    <row r="55" spans="2:10" ht="15.5" customHeight="1" x14ac:dyDescent="0.35">
      <c r="C55" s="92" t="s">
        <v>203</v>
      </c>
      <c r="D55" s="92"/>
      <c r="E55" s="92"/>
      <c r="F55" s="92"/>
      <c r="G55" s="92"/>
      <c r="H55" s="92"/>
    </row>
    <row r="56" spans="2:10" x14ac:dyDescent="0.35">
      <c r="C56" s="92"/>
      <c r="D56" s="92"/>
      <c r="E56" s="92"/>
      <c r="F56" s="92"/>
      <c r="G56" s="92"/>
      <c r="H56" s="92"/>
    </row>
    <row r="57" spans="2:10" x14ac:dyDescent="0.35">
      <c r="C57" s="92"/>
      <c r="D57" s="92"/>
      <c r="E57" s="92"/>
      <c r="F57" s="92"/>
      <c r="G57" s="92"/>
      <c r="H57" s="92"/>
    </row>
    <row r="58" spans="2:10" x14ac:dyDescent="0.35">
      <c r="C58" s="92"/>
      <c r="D58" s="92"/>
      <c r="E58" s="92"/>
      <c r="F58" s="92"/>
      <c r="G58" s="92"/>
      <c r="H58" s="92"/>
    </row>
  </sheetData>
  <sheetProtection algorithmName="SHA-512" hashValue="NaMQqZr0QUZL5O+uYsIcEgor/2IiqeVT2ooZJqsovWN9VFYafYPfv+Z1dx7RMG690kzF3x38YVvv+mEd+n1VOg==" saltValue="1l1qVamzImOP7RC6huCALw==" spinCount="100000" sheet="1" insertHyperlinks="0"/>
  <mergeCells count="26">
    <mergeCell ref="L7:P7"/>
    <mergeCell ref="L15:N15"/>
    <mergeCell ref="O15:Q15"/>
    <mergeCell ref="L16:N16"/>
    <mergeCell ref="O16:Q16"/>
    <mergeCell ref="L23:N23"/>
    <mergeCell ref="O23:Q23"/>
    <mergeCell ref="L24:N24"/>
    <mergeCell ref="O24:Q24"/>
    <mergeCell ref="C17:H17"/>
    <mergeCell ref="L21:N21"/>
    <mergeCell ref="O21:Q21"/>
    <mergeCell ref="L22:N22"/>
    <mergeCell ref="O22:Q22"/>
    <mergeCell ref="L17:N17"/>
    <mergeCell ref="O17:Q17"/>
    <mergeCell ref="L18:N18"/>
    <mergeCell ref="O18:Q18"/>
    <mergeCell ref="L19:N19"/>
    <mergeCell ref="O19:Q19"/>
    <mergeCell ref="C22:H22"/>
    <mergeCell ref="C38:H40"/>
    <mergeCell ref="C42:H42"/>
    <mergeCell ref="C52:H52"/>
    <mergeCell ref="C54:H54"/>
    <mergeCell ref="C55:H5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Waterway</vt:lpstr>
      <vt:lpstr>Scour</vt:lpstr>
      <vt:lpstr>Vertical Clearances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Rajesh</dc:creator>
  <cp:lastModifiedBy>Rajesh</cp:lastModifiedBy>
  <dcterms:created xsi:type="dcterms:W3CDTF">2015-06-05T18:17:20Z</dcterms:created>
  <dcterms:modified xsi:type="dcterms:W3CDTF">2020-10-25T11:39:30Z</dcterms:modified>
</cp:coreProperties>
</file>